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0" windowWidth="24585" windowHeight="15435" firstSheet="1" activeTab="2"/>
  </bookViews>
  <sheets>
    <sheet name="Topes UF" sheetId="20" state="hidden" r:id="rId1"/>
    <sheet name="Input Planilla Análisis" sheetId="19" r:id="rId2"/>
    <sheet name="Planilla Análisis ( isapre)" sheetId="3" r:id="rId3"/>
    <sheet name="c.s.i" sheetId="4" state="hidden" r:id="rId4"/>
    <sheet name="Reporte V1" sheetId="5" state="hidden" r:id="rId5"/>
    <sheet name="Reporte V2" sheetId="23" r:id="rId6"/>
    <sheet name="Hoja10" sheetId="29" state="hidden" r:id="rId7"/>
    <sheet name="Hoja7" sheetId="26" state="hidden" r:id="rId8"/>
    <sheet name="Hoja3" sheetId="22" state="hidden" r:id="rId9"/>
    <sheet name="Prestaciones" sheetId="6" state="hidden" r:id="rId10"/>
    <sheet name="Hoja5" sheetId="24" state="hidden" r:id="rId11"/>
    <sheet name="plantilla isapre" sheetId="7" state="hidden" r:id="rId12"/>
    <sheet name="Hoja6" sheetId="25" state="hidden" r:id="rId13"/>
    <sheet name="Hoja8" sheetId="27" state="hidden" r:id="rId14"/>
    <sheet name="Fonasa" sheetId="9" state="hidden" r:id="rId15"/>
    <sheet name="Reporte siniestro" sheetId="10" state="hidden" r:id="rId16"/>
    <sheet name="Prestacion mas uso" sheetId="17" state="hidden" r:id="rId17"/>
    <sheet name="Hoja9" sheetId="28" state="hidden" r:id="rId18"/>
    <sheet name="Hoja2" sheetId="18" state="hidden" r:id="rId19"/>
    <sheet name="Hoja1" sheetId="21" state="hidden" r:id="rId20"/>
    <sheet name="Datos" sheetId="31" r:id="rId21"/>
    <sheet name="Cartilla Universal" sheetId="30" r:id="rId22"/>
    <sheet name="Datos Cliente" sheetId="32" r:id="rId23"/>
  </sheets>
  <definedNames>
    <definedName name="_xlnm._FilterDatabase" localSheetId="14" hidden="1">Fonasa!$A$12:$N$12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5" i="3" l="1"/>
  <c r="F81" i="3"/>
  <c r="G54" i="3"/>
  <c r="G55" i="3"/>
  <c r="G56" i="3"/>
  <c r="G57" i="3"/>
  <c r="G58" i="3"/>
  <c r="G59" i="3"/>
  <c r="G60" i="3"/>
  <c r="G61" i="3"/>
  <c r="G62" i="3"/>
  <c r="H53" i="3"/>
  <c r="H80" i="3"/>
  <c r="G76" i="3"/>
  <c r="G75" i="3"/>
  <c r="G74" i="3"/>
  <c r="G73" i="3"/>
  <c r="G72" i="3"/>
  <c r="K4" i="3"/>
  <c r="G4" i="3"/>
  <c r="D3" i="3"/>
  <c r="G71" i="3"/>
  <c r="F71" i="3"/>
  <c r="F29" i="3"/>
  <c r="F28" i="3"/>
  <c r="F27" i="3"/>
  <c r="F26" i="3"/>
  <c r="F25" i="3"/>
  <c r="G27" i="3"/>
  <c r="G29" i="3"/>
  <c r="G28" i="3"/>
  <c r="G26" i="3"/>
  <c r="G25" i="3"/>
  <c r="F13" i="3"/>
  <c r="F12" i="3"/>
  <c r="F22" i="3"/>
  <c r="F21" i="3"/>
  <c r="F20" i="3"/>
  <c r="F19" i="3"/>
  <c r="F18" i="3"/>
  <c r="F17" i="3"/>
  <c r="F16" i="3"/>
  <c r="G22" i="3"/>
  <c r="G21" i="3"/>
  <c r="G20" i="3"/>
  <c r="G19" i="3"/>
  <c r="G18" i="3"/>
  <c r="G17" i="3"/>
  <c r="G16" i="3"/>
  <c r="G13" i="3"/>
  <c r="G12" i="3"/>
  <c r="F54" i="3"/>
  <c r="G41" i="3"/>
  <c r="G42" i="3" s="1"/>
  <c r="G43" i="3" s="1"/>
  <c r="G44" i="3" s="1"/>
  <c r="G45" i="3" s="1"/>
  <c r="G46" i="3" s="1"/>
  <c r="G47" i="3" s="1"/>
  <c r="G40" i="3"/>
  <c r="G39" i="3"/>
  <c r="G38" i="3"/>
  <c r="F38" i="3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3" i="31"/>
  <c r="G19" i="23" l="1"/>
  <c r="G18" i="23"/>
  <c r="G17" i="23"/>
  <c r="G16" i="23"/>
  <c r="G15" i="23"/>
  <c r="G14" i="23"/>
  <c r="G13" i="23"/>
  <c r="G12" i="23"/>
  <c r="G11" i="23"/>
  <c r="G10" i="23"/>
  <c r="D21" i="23"/>
  <c r="C21" i="23"/>
  <c r="D20" i="23"/>
  <c r="C20" i="23"/>
  <c r="D19" i="23"/>
  <c r="D18" i="23"/>
  <c r="D17" i="23"/>
  <c r="D16" i="23"/>
  <c r="C19" i="23"/>
  <c r="C18" i="23"/>
  <c r="C17" i="23"/>
  <c r="C16" i="23"/>
  <c r="C12" i="23"/>
  <c r="C11" i="23"/>
  <c r="C10" i="23"/>
  <c r="O3" i="31" l="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3" i="31"/>
  <c r="O11" i="31"/>
  <c r="O12" i="31"/>
  <c r="O7" i="31"/>
  <c r="O10" i="31"/>
  <c r="O9" i="31"/>
  <c r="O8" i="31"/>
  <c r="O6" i="31"/>
  <c r="O5" i="31"/>
  <c r="O4" i="31"/>
  <c r="L17" i="31"/>
  <c r="K17" i="31"/>
  <c r="L16" i="31"/>
  <c r="K16" i="31"/>
  <c r="L15" i="31"/>
  <c r="K15" i="31"/>
  <c r="L14" i="31"/>
  <c r="K14" i="31"/>
  <c r="L13" i="31"/>
  <c r="K13" i="31"/>
  <c r="L12" i="31"/>
  <c r="K12" i="31"/>
  <c r="L11" i="31"/>
  <c r="K11" i="31"/>
  <c r="L10" i="31"/>
  <c r="K10" i="31"/>
  <c r="L9" i="31"/>
  <c r="K9" i="31"/>
  <c r="K5" i="31"/>
  <c r="K4" i="31"/>
  <c r="K3" i="31"/>
  <c r="K2" i="31"/>
  <c r="B56" i="31"/>
  <c r="C56" i="31"/>
  <c r="D56" i="31"/>
  <c r="B57" i="31"/>
  <c r="C57" i="31"/>
  <c r="D57" i="31"/>
  <c r="B58" i="31"/>
  <c r="C58" i="31"/>
  <c r="D58" i="31"/>
  <c r="B59" i="31"/>
  <c r="C59" i="31"/>
  <c r="D59" i="31"/>
  <c r="B60" i="31"/>
  <c r="C60" i="31"/>
  <c r="D60" i="31"/>
  <c r="B61" i="31"/>
  <c r="C61" i="31"/>
  <c r="D61" i="31"/>
  <c r="B62" i="31"/>
  <c r="C62" i="31"/>
  <c r="D62" i="31"/>
  <c r="B63" i="31"/>
  <c r="C63" i="31"/>
  <c r="D63" i="31"/>
  <c r="B64" i="31"/>
  <c r="C64" i="31"/>
  <c r="D64" i="31"/>
  <c r="B65" i="31"/>
  <c r="C65" i="31"/>
  <c r="D65" i="31"/>
  <c r="B66" i="31"/>
  <c r="C66" i="31"/>
  <c r="D66" i="31"/>
  <c r="B67" i="31"/>
  <c r="C67" i="31"/>
  <c r="D67" i="31"/>
  <c r="B68" i="31"/>
  <c r="C68" i="31"/>
  <c r="D68" i="31"/>
  <c r="B69" i="31"/>
  <c r="C69" i="31"/>
  <c r="D69" i="31"/>
  <c r="B70" i="31"/>
  <c r="C70" i="31"/>
  <c r="D70" i="31"/>
  <c r="B71" i="31"/>
  <c r="C71" i="31"/>
  <c r="D71" i="31"/>
  <c r="B72" i="31"/>
  <c r="C72" i="31"/>
  <c r="D72" i="31"/>
  <c r="B3" i="31"/>
  <c r="C3" i="31"/>
  <c r="D3" i="31"/>
  <c r="B4" i="31"/>
  <c r="C4" i="31"/>
  <c r="D4" i="31"/>
  <c r="B5" i="31"/>
  <c r="C5" i="31"/>
  <c r="D5" i="31"/>
  <c r="B6" i="31"/>
  <c r="C6" i="31"/>
  <c r="D6" i="31"/>
  <c r="B7" i="31"/>
  <c r="C7" i="31"/>
  <c r="D7" i="31"/>
  <c r="B8" i="31"/>
  <c r="C8" i="31"/>
  <c r="D8" i="31"/>
  <c r="B9" i="31"/>
  <c r="C9" i="31"/>
  <c r="D9" i="31"/>
  <c r="B10" i="31"/>
  <c r="C10" i="31"/>
  <c r="D10" i="31"/>
  <c r="B11" i="31"/>
  <c r="C11" i="31"/>
  <c r="D11" i="31"/>
  <c r="B12" i="31"/>
  <c r="C12" i="31"/>
  <c r="D12" i="31"/>
  <c r="B13" i="31"/>
  <c r="C13" i="31"/>
  <c r="D13" i="31"/>
  <c r="B14" i="31"/>
  <c r="C14" i="31"/>
  <c r="D14" i="31"/>
  <c r="B15" i="31"/>
  <c r="C15" i="31"/>
  <c r="D15" i="31"/>
  <c r="B16" i="31"/>
  <c r="C16" i="31"/>
  <c r="D16" i="31"/>
  <c r="B17" i="31"/>
  <c r="C17" i="31"/>
  <c r="D17" i="31"/>
  <c r="B18" i="31"/>
  <c r="C18" i="31"/>
  <c r="D18" i="31"/>
  <c r="B19" i="31"/>
  <c r="C19" i="31"/>
  <c r="D19" i="31"/>
  <c r="B20" i="31"/>
  <c r="C20" i="31"/>
  <c r="D20" i="31"/>
  <c r="B21" i="31"/>
  <c r="C21" i="31"/>
  <c r="D21" i="31"/>
  <c r="B22" i="31"/>
  <c r="C22" i="31"/>
  <c r="D22" i="31"/>
  <c r="B23" i="31"/>
  <c r="C23" i="31"/>
  <c r="D23" i="31"/>
  <c r="B24" i="31"/>
  <c r="C24" i="31"/>
  <c r="D24" i="31"/>
  <c r="B25" i="31"/>
  <c r="C25" i="31"/>
  <c r="D25" i="31"/>
  <c r="B26" i="31"/>
  <c r="C26" i="31"/>
  <c r="D26" i="31"/>
  <c r="B27" i="31"/>
  <c r="C27" i="31"/>
  <c r="D27" i="31"/>
  <c r="B28" i="31"/>
  <c r="C28" i="31"/>
  <c r="D28" i="31"/>
  <c r="B29" i="31"/>
  <c r="C29" i="31"/>
  <c r="D29" i="31"/>
  <c r="B30" i="31"/>
  <c r="C30" i="31"/>
  <c r="D30" i="31"/>
  <c r="B31" i="31"/>
  <c r="C31" i="31"/>
  <c r="D31" i="31"/>
  <c r="B32" i="31"/>
  <c r="C32" i="31"/>
  <c r="D32" i="31"/>
  <c r="B33" i="31"/>
  <c r="C33" i="31"/>
  <c r="D33" i="31"/>
  <c r="B34" i="31"/>
  <c r="C34" i="31"/>
  <c r="D34" i="31"/>
  <c r="B35" i="31"/>
  <c r="C35" i="31"/>
  <c r="D35" i="31"/>
  <c r="B36" i="31"/>
  <c r="C36" i="31"/>
  <c r="D36" i="31"/>
  <c r="B37" i="31"/>
  <c r="C37" i="31"/>
  <c r="D37" i="31"/>
  <c r="B38" i="31"/>
  <c r="C38" i="31"/>
  <c r="D38" i="31"/>
  <c r="B39" i="31"/>
  <c r="C39" i="31"/>
  <c r="D39" i="31"/>
  <c r="B40" i="31"/>
  <c r="C40" i="31"/>
  <c r="D40" i="31"/>
  <c r="B41" i="31"/>
  <c r="C41" i="31"/>
  <c r="D41" i="31"/>
  <c r="B42" i="31"/>
  <c r="C42" i="31"/>
  <c r="D42" i="31"/>
  <c r="B43" i="31"/>
  <c r="C43" i="31"/>
  <c r="D43" i="31"/>
  <c r="B44" i="31"/>
  <c r="C44" i="31"/>
  <c r="D44" i="31"/>
  <c r="B45" i="31"/>
  <c r="C45" i="31"/>
  <c r="D45" i="31"/>
  <c r="B46" i="31"/>
  <c r="C46" i="31"/>
  <c r="D46" i="31"/>
  <c r="B47" i="31"/>
  <c r="C47" i="31"/>
  <c r="D47" i="31"/>
  <c r="B48" i="31"/>
  <c r="C48" i="31"/>
  <c r="D48" i="31"/>
  <c r="B49" i="31"/>
  <c r="C49" i="31"/>
  <c r="D49" i="31"/>
  <c r="B50" i="31"/>
  <c r="C50" i="31"/>
  <c r="D50" i="31"/>
  <c r="B51" i="31"/>
  <c r="C51" i="31"/>
  <c r="D51" i="31"/>
  <c r="B52" i="31"/>
  <c r="C52" i="31"/>
  <c r="D52" i="31"/>
  <c r="B53" i="31"/>
  <c r="C53" i="31"/>
  <c r="D53" i="31"/>
  <c r="B54" i="31"/>
  <c r="C54" i="31"/>
  <c r="D54" i="31"/>
  <c r="B55" i="31"/>
  <c r="C55" i="31"/>
  <c r="D55" i="31"/>
  <c r="D2" i="31"/>
  <c r="C2" i="31"/>
  <c r="B2" i="31"/>
  <c r="F82" i="3" l="1"/>
  <c r="F83" i="3" s="1"/>
  <c r="I8" i="3"/>
  <c r="G26" i="23"/>
  <c r="G25" i="23"/>
  <c r="G27" i="23" s="1"/>
  <c r="G28" i="23" s="1"/>
  <c r="J13" i="3"/>
  <c r="H13" i="3"/>
  <c r="J126" i="3"/>
  <c r="J127" i="3"/>
  <c r="J128" i="3" s="1"/>
  <c r="F126" i="3"/>
  <c r="F127" i="3" s="1"/>
  <c r="F128" i="3" s="1"/>
  <c r="J116" i="3"/>
  <c r="J117" i="3"/>
  <c r="J118" i="3" s="1"/>
  <c r="F116" i="3"/>
  <c r="F117" i="3" s="1"/>
  <c r="F118" i="3" s="1"/>
  <c r="F103" i="3"/>
  <c r="F104" i="3"/>
  <c r="F105" i="3" s="1"/>
  <c r="F106" i="3" s="1"/>
  <c r="F107" i="3" s="1"/>
  <c r="J82" i="3"/>
  <c r="J83" i="3" s="1"/>
  <c r="J84" i="3" s="1"/>
  <c r="J72" i="3"/>
  <c r="J73" i="3"/>
  <c r="J74" i="3" s="1"/>
  <c r="J75" i="3" s="1"/>
  <c r="J76" i="3" s="1"/>
  <c r="J55" i="3"/>
  <c r="J56" i="3" s="1"/>
  <c r="J57" i="3" s="1"/>
  <c r="J58" i="3" s="1"/>
  <c r="J59" i="3" s="1"/>
  <c r="J60" i="3" s="1"/>
  <c r="J61" i="3" s="1"/>
  <c r="J62" i="3" s="1"/>
  <c r="J39" i="3"/>
  <c r="J40" i="3" s="1"/>
  <c r="J41" i="3" s="1"/>
  <c r="J42" i="3" s="1"/>
  <c r="J43" i="3" s="1"/>
  <c r="J44" i="3" s="1"/>
  <c r="J45" i="3" s="1"/>
  <c r="J46" i="3" s="1"/>
  <c r="J47" i="3" s="1"/>
  <c r="J17" i="3"/>
  <c r="J18" i="3"/>
  <c r="J19" i="3" s="1"/>
  <c r="J20" i="3" s="1"/>
  <c r="J21" i="3" s="1"/>
  <c r="J22" i="3" s="1"/>
  <c r="J25" i="3" s="1"/>
  <c r="J26" i="3" s="1"/>
  <c r="J27" i="3" s="1"/>
  <c r="J28" i="3" s="1"/>
  <c r="J29" i="3" s="1"/>
  <c r="K84" i="3"/>
  <c r="K83" i="3"/>
  <c r="K82" i="3"/>
  <c r="K81" i="3"/>
  <c r="G84" i="3"/>
  <c r="G83" i="3"/>
  <c r="G82" i="3"/>
  <c r="G81" i="3"/>
  <c r="K62" i="3"/>
  <c r="K61" i="3"/>
  <c r="K60" i="3"/>
  <c r="K59" i="3"/>
  <c r="K58" i="3"/>
  <c r="K57" i="3"/>
  <c r="K56" i="3"/>
  <c r="K55" i="3"/>
  <c r="K54" i="3"/>
  <c r="N12" i="3"/>
  <c r="R29" i="3"/>
  <c r="R28" i="3"/>
  <c r="R27" i="3"/>
  <c r="R26" i="3"/>
  <c r="R25" i="3"/>
  <c r="R21" i="3"/>
  <c r="R20" i="3"/>
  <c r="R19" i="3"/>
  <c r="R18" i="3"/>
  <c r="R17" i="3"/>
  <c r="R16" i="3"/>
  <c r="R13" i="3"/>
  <c r="R12" i="3"/>
  <c r="O6" i="9"/>
  <c r="O8" i="9"/>
  <c r="O5" i="9"/>
  <c r="N7" i="9"/>
  <c r="O7" i="9"/>
  <c r="N3" i="9"/>
  <c r="F24" i="17"/>
  <c r="G24" i="17"/>
  <c r="C124" i="3"/>
  <c r="C114" i="3"/>
  <c r="J9" i="19"/>
  <c r="J10" i="19"/>
  <c r="J11" i="19"/>
  <c r="J12" i="19"/>
  <c r="J13" i="19"/>
  <c r="J14" i="19"/>
  <c r="J15" i="19"/>
  <c r="D51" i="20"/>
  <c r="D50" i="20"/>
  <c r="D49" i="20"/>
  <c r="D48" i="20"/>
  <c r="A1" i="20"/>
  <c r="E58" i="20" s="1"/>
  <c r="E31" i="20"/>
  <c r="D29" i="20"/>
  <c r="D52" i="20" s="1"/>
  <c r="D28" i="20"/>
  <c r="D27" i="20"/>
  <c r="D23" i="20"/>
  <c r="B23" i="20"/>
  <c r="B51" i="20"/>
  <c r="B50" i="20"/>
  <c r="B49" i="20"/>
  <c r="B48" i="20"/>
  <c r="C31" i="20"/>
  <c r="B29" i="20"/>
  <c r="B52" i="20"/>
  <c r="B28" i="20"/>
  <c r="B27" i="20"/>
  <c r="E56" i="20"/>
  <c r="O44" i="9"/>
  <c r="E44" i="9"/>
  <c r="AC24" i="9"/>
  <c r="AB24" i="9" s="1"/>
  <c r="N25" i="9"/>
  <c r="AC17" i="9"/>
  <c r="M17" i="9" s="1"/>
  <c r="N17" i="9" s="1"/>
  <c r="O17" i="9" s="1"/>
  <c r="AC16" i="9"/>
  <c r="M16" i="9" s="1"/>
  <c r="N16" i="9" s="1"/>
  <c r="O16" i="9" s="1"/>
  <c r="X17" i="9"/>
  <c r="W17" i="9" s="1"/>
  <c r="X16" i="9"/>
  <c r="W16" i="9"/>
  <c r="S17" i="9"/>
  <c r="R17" i="9" s="1"/>
  <c r="S16" i="9"/>
  <c r="R16" i="9"/>
  <c r="AC27" i="9"/>
  <c r="M27" i="9" s="1"/>
  <c r="N27" i="9" s="1"/>
  <c r="O27" i="9" s="1"/>
  <c r="X27" i="9"/>
  <c r="W27" i="9" s="1"/>
  <c r="S27" i="9"/>
  <c r="R27" i="9"/>
  <c r="S29" i="9"/>
  <c r="R29" i="9" s="1"/>
  <c r="X29" i="9"/>
  <c r="W29" i="9"/>
  <c r="AC29" i="9"/>
  <c r="M29" i="9" s="1"/>
  <c r="N29" i="9" s="1"/>
  <c r="AC31" i="9"/>
  <c r="AB31" i="9" s="1"/>
  <c r="X31" i="9"/>
  <c r="W31" i="9"/>
  <c r="S31" i="9"/>
  <c r="R31" i="9" s="1"/>
  <c r="AC30" i="9"/>
  <c r="M30" i="9"/>
  <c r="N30" i="9" s="1"/>
  <c r="X30" i="9"/>
  <c r="W30" i="9" s="1"/>
  <c r="S30" i="9"/>
  <c r="R30" i="9" s="1"/>
  <c r="AC28" i="9"/>
  <c r="M28" i="9" s="1"/>
  <c r="N28" i="9" s="1"/>
  <c r="X28" i="9"/>
  <c r="W28" i="9" s="1"/>
  <c r="S28" i="9"/>
  <c r="R28" i="9"/>
  <c r="AC23" i="9"/>
  <c r="M23" i="9" s="1"/>
  <c r="N23" i="9" s="1"/>
  <c r="X23" i="9"/>
  <c r="W23" i="9"/>
  <c r="S23" i="9"/>
  <c r="R23" i="9" s="1"/>
  <c r="S22" i="9"/>
  <c r="R22" i="9"/>
  <c r="X22" i="9"/>
  <c r="W22" i="9" s="1"/>
  <c r="AC22" i="9"/>
  <c r="AB22" i="9"/>
  <c r="AC21" i="9"/>
  <c r="M21" i="9" s="1"/>
  <c r="N21" i="9" s="1"/>
  <c r="X21" i="9"/>
  <c r="W21" i="9" s="1"/>
  <c r="S21" i="9"/>
  <c r="R21" i="9" s="1"/>
  <c r="AC20" i="9"/>
  <c r="M20" i="9" s="1"/>
  <c r="N20" i="9" s="1"/>
  <c r="O20" i="9" s="1"/>
  <c r="X20" i="9"/>
  <c r="W20" i="9" s="1"/>
  <c r="S20" i="9"/>
  <c r="R20" i="9" s="1"/>
  <c r="AC19" i="9"/>
  <c r="M19" i="9" s="1"/>
  <c r="N19" i="9" s="1"/>
  <c r="X19" i="9"/>
  <c r="W19" i="9" s="1"/>
  <c r="S19" i="9"/>
  <c r="R19" i="9"/>
  <c r="AB21" i="9"/>
  <c r="AB28" i="9"/>
  <c r="AB29" i="9"/>
  <c r="AB19" i="9"/>
  <c r="M24" i="9"/>
  <c r="N24" i="9" s="1"/>
  <c r="AB30" i="9"/>
  <c r="AB27" i="9"/>
  <c r="M22" i="9"/>
  <c r="N22" i="9" s="1"/>
  <c r="AB16" i="9"/>
  <c r="H63" i="19"/>
  <c r="I63" i="19"/>
  <c r="J63" i="19"/>
  <c r="K63" i="19"/>
  <c r="L63" i="19"/>
  <c r="M63" i="19"/>
  <c r="N63" i="19"/>
  <c r="H65" i="19"/>
  <c r="I65" i="19"/>
  <c r="J65" i="19"/>
  <c r="K65" i="19"/>
  <c r="L65" i="19"/>
  <c r="M65" i="19"/>
  <c r="N65" i="19"/>
  <c r="H66" i="19"/>
  <c r="I66" i="19"/>
  <c r="J66" i="19"/>
  <c r="K66" i="19"/>
  <c r="L66" i="19"/>
  <c r="C75" i="3" s="1"/>
  <c r="M66" i="19"/>
  <c r="N66" i="19"/>
  <c r="H67" i="19"/>
  <c r="I67" i="19"/>
  <c r="J67" i="19"/>
  <c r="K67" i="19"/>
  <c r="L67" i="19"/>
  <c r="C76" i="3" s="1"/>
  <c r="M67" i="19"/>
  <c r="N67" i="19"/>
  <c r="N62" i="19"/>
  <c r="M62" i="19"/>
  <c r="L62" i="19"/>
  <c r="C71" i="3" s="1"/>
  <c r="K62" i="19"/>
  <c r="J62" i="19"/>
  <c r="I62" i="19"/>
  <c r="H62" i="19"/>
  <c r="H31" i="19"/>
  <c r="I31" i="19"/>
  <c r="J31" i="19"/>
  <c r="K31" i="19"/>
  <c r="L31" i="19"/>
  <c r="M31" i="19"/>
  <c r="N31" i="19"/>
  <c r="J32" i="19"/>
  <c r="H33" i="19"/>
  <c r="I33" i="19"/>
  <c r="J33" i="19"/>
  <c r="K33" i="19"/>
  <c r="L33" i="19"/>
  <c r="M33" i="19"/>
  <c r="N33" i="19"/>
  <c r="H35" i="19"/>
  <c r="I35" i="19"/>
  <c r="J35" i="19"/>
  <c r="K35" i="19"/>
  <c r="L35" i="19"/>
  <c r="C43" i="3" s="1"/>
  <c r="M35" i="19"/>
  <c r="N35" i="19"/>
  <c r="H36" i="19"/>
  <c r="I36" i="19"/>
  <c r="J36" i="19"/>
  <c r="K36" i="19"/>
  <c r="L36" i="19"/>
  <c r="M36" i="19"/>
  <c r="N36" i="19"/>
  <c r="H37" i="19"/>
  <c r="I37" i="19"/>
  <c r="J37" i="19"/>
  <c r="K37" i="19"/>
  <c r="L37" i="19"/>
  <c r="C45" i="3"/>
  <c r="M37" i="19"/>
  <c r="N37" i="19"/>
  <c r="H38" i="19"/>
  <c r="I38" i="19"/>
  <c r="J38" i="19"/>
  <c r="K38" i="19"/>
  <c r="L38" i="19"/>
  <c r="M38" i="19"/>
  <c r="N38" i="19"/>
  <c r="H39" i="19"/>
  <c r="I39" i="19"/>
  <c r="J39" i="19"/>
  <c r="K39" i="19"/>
  <c r="L39" i="19"/>
  <c r="C47" i="3"/>
  <c r="M39" i="19"/>
  <c r="N39" i="19"/>
  <c r="H40" i="19"/>
  <c r="I40" i="19"/>
  <c r="J40" i="19"/>
  <c r="K40" i="19"/>
  <c r="L40" i="19"/>
  <c r="C48" i="3" s="1"/>
  <c r="M40" i="19"/>
  <c r="N40" i="19"/>
  <c r="H41" i="19"/>
  <c r="I41" i="19"/>
  <c r="J41" i="19"/>
  <c r="K41" i="19"/>
  <c r="L41" i="19"/>
  <c r="M41" i="19"/>
  <c r="N41" i="19"/>
  <c r="N30" i="19"/>
  <c r="M30" i="19"/>
  <c r="L30" i="19"/>
  <c r="C38" i="3"/>
  <c r="K30" i="19"/>
  <c r="J30" i="19"/>
  <c r="I30" i="19"/>
  <c r="H30" i="19"/>
  <c r="J19" i="19"/>
  <c r="J20" i="19"/>
  <c r="J21" i="19"/>
  <c r="J22" i="19"/>
  <c r="K23" i="19"/>
  <c r="L23" i="19"/>
  <c r="M23" i="19"/>
  <c r="J18" i="19"/>
  <c r="J23" i="19" s="1"/>
  <c r="I23" i="19"/>
  <c r="H23" i="19"/>
  <c r="N16" i="19"/>
  <c r="M16" i="19"/>
  <c r="J16" i="19"/>
  <c r="I16" i="19"/>
  <c r="H16" i="19"/>
  <c r="C74" i="3"/>
  <c r="G64" i="19"/>
  <c r="C44" i="3"/>
  <c r="C46" i="3"/>
  <c r="C49" i="3"/>
  <c r="G34" i="19"/>
  <c r="I34" i="19" s="1"/>
  <c r="I42" i="19" s="1"/>
  <c r="C41" i="3"/>
  <c r="C40" i="3"/>
  <c r="C39" i="3"/>
  <c r="B21" i="20" s="1"/>
  <c r="B32" i="20" s="1"/>
  <c r="C27" i="3"/>
  <c r="C28" i="3"/>
  <c r="C29" i="3"/>
  <c r="C26" i="3"/>
  <c r="C25" i="3"/>
  <c r="C18" i="3"/>
  <c r="C19" i="3"/>
  <c r="C20" i="3"/>
  <c r="C21" i="3"/>
  <c r="C22" i="3"/>
  <c r="C17" i="3"/>
  <c r="C16" i="3"/>
  <c r="C13" i="3"/>
  <c r="C12" i="3"/>
  <c r="I7" i="19"/>
  <c r="J7" i="19"/>
  <c r="K7" i="19"/>
  <c r="L7" i="19"/>
  <c r="M7" i="19"/>
  <c r="N7" i="19"/>
  <c r="N23" i="19"/>
  <c r="H7" i="19"/>
  <c r="G75" i="19"/>
  <c r="G74" i="19"/>
  <c r="I74" i="19"/>
  <c r="G73" i="19"/>
  <c r="G72" i="19"/>
  <c r="M72" i="19" s="1"/>
  <c r="M76" i="19" s="1"/>
  <c r="G68" i="19"/>
  <c r="G54" i="19"/>
  <c r="M54" i="19" s="1"/>
  <c r="G53" i="19"/>
  <c r="G52" i="19"/>
  <c r="N52" i="19" s="1"/>
  <c r="N55" i="19" s="1"/>
  <c r="G51" i="19"/>
  <c r="G50" i="19"/>
  <c r="H50" i="19"/>
  <c r="G49" i="19"/>
  <c r="G48" i="19"/>
  <c r="H48" i="19" s="1"/>
  <c r="G47" i="19"/>
  <c r="K47" i="19" s="1"/>
  <c r="G46" i="19"/>
  <c r="M46" i="19" s="1"/>
  <c r="M55" i="19" s="1"/>
  <c r="G42" i="19"/>
  <c r="G23" i="19"/>
  <c r="G16" i="19"/>
  <c r="G7" i="19"/>
  <c r="F72" i="3"/>
  <c r="F73" i="3" s="1"/>
  <c r="F74" i="3" s="1"/>
  <c r="F75" i="3" s="1"/>
  <c r="F76" i="3" s="1"/>
  <c r="F55" i="3"/>
  <c r="F56" i="3" s="1"/>
  <c r="F57" i="3" s="1"/>
  <c r="F58" i="3" s="1"/>
  <c r="F59" i="3" s="1"/>
  <c r="F60" i="3" s="1"/>
  <c r="F61" i="3" s="1"/>
  <c r="F62" i="3" s="1"/>
  <c r="F39" i="3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N13" i="3"/>
  <c r="C72" i="3"/>
  <c r="N46" i="19"/>
  <c r="M52" i="19"/>
  <c r="K50" i="19"/>
  <c r="I48" i="19"/>
  <c r="H72" i="19"/>
  <c r="N74" i="19"/>
  <c r="L54" i="19"/>
  <c r="C62" i="3" s="1"/>
  <c r="I50" i="19"/>
  <c r="J72" i="19"/>
  <c r="L74" i="19"/>
  <c r="I52" i="19"/>
  <c r="M48" i="19"/>
  <c r="L48" i="19"/>
  <c r="C56" i="3"/>
  <c r="L72" i="19"/>
  <c r="J74" i="19"/>
  <c r="M50" i="19"/>
  <c r="L50" i="19"/>
  <c r="C58" i="3" s="1"/>
  <c r="K48" i="19"/>
  <c r="N72" i="19"/>
  <c r="H74" i="19"/>
  <c r="M47" i="19"/>
  <c r="H47" i="19"/>
  <c r="N47" i="19"/>
  <c r="I49" i="19"/>
  <c r="K49" i="19"/>
  <c r="M49" i="19"/>
  <c r="H49" i="19"/>
  <c r="J49" i="19"/>
  <c r="L49" i="19"/>
  <c r="N49" i="19"/>
  <c r="I51" i="19"/>
  <c r="K51" i="19"/>
  <c r="M51" i="19"/>
  <c r="L51" i="19"/>
  <c r="C59" i="3"/>
  <c r="H51" i="19"/>
  <c r="J51" i="19"/>
  <c r="N51" i="19"/>
  <c r="I53" i="19"/>
  <c r="K53" i="19"/>
  <c r="M53" i="19"/>
  <c r="L53" i="19"/>
  <c r="C61" i="3"/>
  <c r="H53" i="19"/>
  <c r="J53" i="19"/>
  <c r="N53" i="19"/>
  <c r="H73" i="19"/>
  <c r="J73" i="19"/>
  <c r="L73" i="19"/>
  <c r="N73" i="19"/>
  <c r="I73" i="19"/>
  <c r="I76" i="19" s="1"/>
  <c r="K73" i="19"/>
  <c r="M73" i="19"/>
  <c r="H75" i="19"/>
  <c r="J75" i="19"/>
  <c r="J76" i="19" s="1"/>
  <c r="L75" i="19"/>
  <c r="N75" i="19"/>
  <c r="I75" i="19"/>
  <c r="K75" i="19"/>
  <c r="M75" i="19"/>
  <c r="I46" i="19"/>
  <c r="K46" i="19"/>
  <c r="N54" i="19"/>
  <c r="J54" i="19"/>
  <c r="L52" i="19"/>
  <c r="C60" i="3" s="1"/>
  <c r="J52" i="19"/>
  <c r="N50" i="19"/>
  <c r="J50" i="19"/>
  <c r="N48" i="19"/>
  <c r="J48" i="19"/>
  <c r="I72" i="19"/>
  <c r="K72" i="19"/>
  <c r="C81" i="3"/>
  <c r="M74" i="19"/>
  <c r="K74" i="19"/>
  <c r="C73" i="3"/>
  <c r="N34" i="19"/>
  <c r="N42" i="19" s="1"/>
  <c r="L34" i="19"/>
  <c r="L42" i="19"/>
  <c r="J34" i="19"/>
  <c r="J42" i="19" s="1"/>
  <c r="H34" i="19"/>
  <c r="H42" i="19"/>
  <c r="M68" i="19"/>
  <c r="H68" i="19"/>
  <c r="M34" i="19"/>
  <c r="K34" i="19"/>
  <c r="K42" i="19"/>
  <c r="K68" i="19"/>
  <c r="L68" i="19"/>
  <c r="J64" i="19"/>
  <c r="J68" i="19"/>
  <c r="N68" i="19"/>
  <c r="I68" i="19"/>
  <c r="L16" i="19"/>
  <c r="K16" i="19"/>
  <c r="G55" i="19"/>
  <c r="G76" i="19"/>
  <c r="N16" i="3"/>
  <c r="N17" i="3"/>
  <c r="N18" i="3" s="1"/>
  <c r="N19" i="3" s="1"/>
  <c r="N20" i="3" s="1"/>
  <c r="N21" i="3" s="1"/>
  <c r="N22" i="3" s="1"/>
  <c r="N25" i="3" s="1"/>
  <c r="N26" i="3" s="1"/>
  <c r="N27" i="3" s="1"/>
  <c r="N28" i="3" s="1"/>
  <c r="N29" i="3" s="1"/>
  <c r="N38" i="3" s="1"/>
  <c r="O82" i="3"/>
  <c r="O83" i="3"/>
  <c r="O84" i="3"/>
  <c r="O75" i="3"/>
  <c r="O76" i="3" s="1"/>
  <c r="O72" i="3"/>
  <c r="O55" i="3"/>
  <c r="O56" i="3" s="1"/>
  <c r="O57" i="3" s="1"/>
  <c r="O58" i="3" s="1"/>
  <c r="O59" i="3" s="1"/>
  <c r="O60" i="3" s="1"/>
  <c r="O61" i="3" s="1"/>
  <c r="O62" i="3" s="1"/>
  <c r="O39" i="3"/>
  <c r="O40" i="3" s="1"/>
  <c r="O41" i="3" s="1"/>
  <c r="O43" i="3" s="1"/>
  <c r="O17" i="3"/>
  <c r="O18" i="3" s="1"/>
  <c r="O19" i="3" s="1"/>
  <c r="O20" i="3" s="1"/>
  <c r="O21" i="3" s="1"/>
  <c r="E105" i="5"/>
  <c r="E108" i="5" s="1"/>
  <c r="C83" i="3"/>
  <c r="C82" i="3"/>
  <c r="C85" i="3" s="1"/>
  <c r="C84" i="3"/>
  <c r="C57" i="3"/>
  <c r="N76" i="19"/>
  <c r="L76" i="19"/>
  <c r="H76" i="19"/>
  <c r="M42" i="19"/>
  <c r="C42" i="3"/>
  <c r="C50" i="3" s="1"/>
  <c r="K76" i="19"/>
  <c r="E106" i="5"/>
  <c r="E107" i="5" s="1"/>
  <c r="B18" i="18"/>
  <c r="F18" i="18" s="1"/>
  <c r="B19" i="18"/>
  <c r="G19" i="18" s="1"/>
  <c r="B20" i="18"/>
  <c r="G20" i="18" s="1"/>
  <c r="B21" i="18"/>
  <c r="G21" i="18" s="1"/>
  <c r="B22" i="18"/>
  <c r="F22" i="18" s="1"/>
  <c r="B23" i="18"/>
  <c r="F23" i="18" s="1"/>
  <c r="B24" i="18"/>
  <c r="F24" i="18" s="1"/>
  <c r="B17" i="18"/>
  <c r="F17" i="18" s="1"/>
  <c r="G18" i="18"/>
  <c r="B26" i="18"/>
  <c r="F26" i="18"/>
  <c r="B27" i="18"/>
  <c r="F27" i="18" s="1"/>
  <c r="B28" i="18"/>
  <c r="G28" i="18"/>
  <c r="B29" i="18"/>
  <c r="G29" i="18" s="1"/>
  <c r="B30" i="18"/>
  <c r="F30" i="18"/>
  <c r="B31" i="18"/>
  <c r="E31" i="18" s="1"/>
  <c r="B32" i="18"/>
  <c r="G32" i="18"/>
  <c r="B33" i="18"/>
  <c r="G33" i="18" s="1"/>
  <c r="B34" i="18"/>
  <c r="F34" i="18"/>
  <c r="B25" i="18"/>
  <c r="F25" i="18" s="1"/>
  <c r="B16" i="18"/>
  <c r="G16" i="18" s="1"/>
  <c r="B15" i="18"/>
  <c r="E15" i="18" s="1"/>
  <c r="D9" i="18"/>
  <c r="D10" i="18"/>
  <c r="D19" i="18" s="1"/>
  <c r="D11" i="18"/>
  <c r="D26" i="18"/>
  <c r="D8" i="18"/>
  <c r="E24" i="18"/>
  <c r="D25" i="18"/>
  <c r="F20" i="18"/>
  <c r="D27" i="18"/>
  <c r="E20" i="18"/>
  <c r="G26" i="18"/>
  <c r="F33" i="18"/>
  <c r="F15" i="18"/>
  <c r="G34" i="18"/>
  <c r="G30" i="18"/>
  <c r="G22" i="18"/>
  <c r="E28" i="18"/>
  <c r="E32" i="18"/>
  <c r="D33" i="18"/>
  <c r="G15" i="18"/>
  <c r="G25" i="18"/>
  <c r="E27" i="18"/>
  <c r="F28" i="18"/>
  <c r="F32" i="18"/>
  <c r="D31" i="18"/>
  <c r="D15" i="18"/>
  <c r="E22" i="18"/>
  <c r="G24" i="18"/>
  <c r="E26" i="18"/>
  <c r="E30" i="18"/>
  <c r="F31" i="18"/>
  <c r="E34" i="18"/>
  <c r="D29" i="18"/>
  <c r="E17" i="18"/>
  <c r="E18" i="18"/>
  <c r="D24" i="18"/>
  <c r="D22" i="18"/>
  <c r="D23" i="18"/>
  <c r="D34" i="18"/>
  <c r="D32" i="18"/>
  <c r="D30" i="18"/>
  <c r="D28" i="18"/>
  <c r="E50" i="5"/>
  <c r="P121" i="3"/>
  <c r="N115" i="3"/>
  <c r="C98" i="5"/>
  <c r="E75" i="5"/>
  <c r="J77" i="5"/>
  <c r="B49" i="5"/>
  <c r="E74" i="5"/>
  <c r="L74" i="5"/>
  <c r="F74" i="5"/>
  <c r="O73" i="3"/>
  <c r="O21" i="6"/>
  <c r="O22" i="6"/>
  <c r="O23" i="6"/>
  <c r="O24" i="6"/>
  <c r="P24" i="6" s="1"/>
  <c r="O20" i="6"/>
  <c r="O12" i="6"/>
  <c r="P12" i="6"/>
  <c r="Q12" i="6" s="1"/>
  <c r="O13" i="6"/>
  <c r="O14" i="6"/>
  <c r="O15" i="6"/>
  <c r="Q15" i="6" s="1"/>
  <c r="O16" i="6"/>
  <c r="O17" i="6"/>
  <c r="O11" i="6"/>
  <c r="M21" i="6"/>
  <c r="N21" i="6" s="1"/>
  <c r="S21" i="6" s="1"/>
  <c r="M22" i="6"/>
  <c r="N22" i="6" s="1"/>
  <c r="S22" i="6" s="1"/>
  <c r="M23" i="6"/>
  <c r="N23" i="6" s="1"/>
  <c r="S23" i="6" s="1"/>
  <c r="M24" i="6"/>
  <c r="N24" i="6"/>
  <c r="S24" i="6"/>
  <c r="M20" i="6"/>
  <c r="N20" i="6" s="1"/>
  <c r="S20" i="6" s="1"/>
  <c r="M12" i="6"/>
  <c r="N12" i="6" s="1"/>
  <c r="S12" i="6" s="1"/>
  <c r="M13" i="6"/>
  <c r="N13" i="6" s="1"/>
  <c r="S13" i="6" s="1"/>
  <c r="M14" i="6"/>
  <c r="N14" i="6"/>
  <c r="S14" i="6"/>
  <c r="M15" i="6"/>
  <c r="N15" i="6" s="1"/>
  <c r="S15" i="6" s="1"/>
  <c r="M16" i="6"/>
  <c r="N16" i="6" s="1"/>
  <c r="S16" i="6" s="1"/>
  <c r="M17" i="6"/>
  <c r="N17" i="6" s="1"/>
  <c r="S17" i="6" s="1"/>
  <c r="M11" i="6"/>
  <c r="N11" i="6"/>
  <c r="S11" i="6"/>
  <c r="O19" i="9"/>
  <c r="O21" i="9"/>
  <c r="O22" i="9"/>
  <c r="O23" i="9"/>
  <c r="O24" i="9"/>
  <c r="O25" i="9"/>
  <c r="O28" i="9"/>
  <c r="O30" i="9"/>
  <c r="B119" i="9"/>
  <c r="B109" i="9"/>
  <c r="A86" i="9"/>
  <c r="A85" i="9"/>
  <c r="A84" i="9"/>
  <c r="A83" i="9"/>
  <c r="A64" i="9"/>
  <c r="A63" i="9"/>
  <c r="A62" i="9"/>
  <c r="A61" i="9"/>
  <c r="A60" i="9"/>
  <c r="A59" i="9"/>
  <c r="A58" i="9"/>
  <c r="A57" i="9"/>
  <c r="A56" i="9"/>
  <c r="P131" i="3"/>
  <c r="E125" i="3"/>
  <c r="E115" i="3"/>
  <c r="C116" i="3"/>
  <c r="B113" i="3" s="1"/>
  <c r="P21" i="6"/>
  <c r="Q21" i="6"/>
  <c r="P15" i="6"/>
  <c r="P14" i="6"/>
  <c r="Q14" i="6"/>
  <c r="Q24" i="6"/>
  <c r="P20" i="6"/>
  <c r="Q20" i="6" s="1"/>
  <c r="P23" i="6"/>
  <c r="Q23" i="6"/>
  <c r="P17" i="6"/>
  <c r="Q17" i="6" s="1"/>
  <c r="P13" i="6"/>
  <c r="Q13" i="6"/>
  <c r="C126" i="3"/>
  <c r="E126" i="3" s="1"/>
  <c r="M74" i="5"/>
  <c r="L75" i="5"/>
  <c r="E62" i="5"/>
  <c r="E54" i="5"/>
  <c r="E56" i="5" s="1"/>
  <c r="D26" i="10"/>
  <c r="D27" i="10" s="1"/>
  <c r="F21" i="10"/>
  <c r="F20" i="10"/>
  <c r="G20" i="10" s="1"/>
  <c r="F19" i="10"/>
  <c r="G19" i="10" s="1"/>
  <c r="C131" i="3"/>
  <c r="C121" i="3"/>
  <c r="E26" i="10"/>
  <c r="E107" i="3"/>
  <c r="E103" i="3"/>
  <c r="E104" i="3"/>
  <c r="E105" i="3"/>
  <c r="E106" i="3"/>
  <c r="E102" i="3"/>
  <c r="E108" i="3" s="1"/>
  <c r="E84" i="3"/>
  <c r="E85" i="3" s="1"/>
  <c r="E83" i="3"/>
  <c r="E82" i="3"/>
  <c r="E81" i="3"/>
  <c r="C77" i="3"/>
  <c r="E76" i="3"/>
  <c r="E75" i="3"/>
  <c r="E74" i="3"/>
  <c r="E73" i="3"/>
  <c r="E72" i="3"/>
  <c r="E71" i="3"/>
  <c r="E62" i="3"/>
  <c r="E61" i="3"/>
  <c r="E60" i="3"/>
  <c r="E59" i="3"/>
  <c r="E58" i="3"/>
  <c r="E57" i="3"/>
  <c r="E56" i="3"/>
  <c r="E49" i="3"/>
  <c r="E48" i="3"/>
  <c r="E47" i="3"/>
  <c r="E46" i="3"/>
  <c r="E45" i="3"/>
  <c r="E44" i="3"/>
  <c r="E43" i="3"/>
  <c r="E42" i="3"/>
  <c r="E41" i="3"/>
  <c r="E40" i="3"/>
  <c r="E39" i="3"/>
  <c r="E38" i="3"/>
  <c r="C30" i="3"/>
  <c r="E29" i="3"/>
  <c r="E28" i="3"/>
  <c r="E27" i="3"/>
  <c r="E26" i="3"/>
  <c r="E25" i="3"/>
  <c r="C23" i="3"/>
  <c r="E22" i="3"/>
  <c r="E21" i="3"/>
  <c r="E20" i="3"/>
  <c r="E19" i="3"/>
  <c r="E18" i="3"/>
  <c r="E17" i="3"/>
  <c r="E16" i="3"/>
  <c r="C14" i="3"/>
  <c r="E13" i="3"/>
  <c r="E12" i="3"/>
  <c r="F75" i="5"/>
  <c r="M75" i="5" s="1"/>
  <c r="O29" i="9"/>
  <c r="E45" i="5"/>
  <c r="L116" i="3"/>
  <c r="O12" i="3"/>
  <c r="H116" i="3"/>
  <c r="L126" i="3"/>
  <c r="H103" i="3"/>
  <c r="I103" i="3"/>
  <c r="H104" i="3"/>
  <c r="L45" i="3"/>
  <c r="M45" i="3" s="1"/>
  <c r="L42" i="3"/>
  <c r="M42" i="3" s="1"/>
  <c r="L41" i="3"/>
  <c r="M41" i="3" s="1"/>
  <c r="H28" i="3"/>
  <c r="H42" i="3"/>
  <c r="I42" i="3" s="1"/>
  <c r="H27" i="3"/>
  <c r="I27" i="3" s="1"/>
  <c r="H17" i="3"/>
  <c r="I17" i="3" s="1"/>
  <c r="H19" i="3"/>
  <c r="H21" i="3"/>
  <c r="I21" i="3" s="1"/>
  <c r="H49" i="3"/>
  <c r="I49" i="3" s="1"/>
  <c r="H76" i="3"/>
  <c r="I76" i="3" s="1"/>
  <c r="H43" i="3"/>
  <c r="H45" i="3"/>
  <c r="I45" i="3" s="1"/>
  <c r="H47" i="3"/>
  <c r="H56" i="3"/>
  <c r="I56" i="3" s="1"/>
  <c r="H58" i="3"/>
  <c r="I58" i="3" s="1"/>
  <c r="H60" i="3"/>
  <c r="I60" i="3" s="1"/>
  <c r="H62" i="3"/>
  <c r="I62" i="3" s="1"/>
  <c r="L43" i="3"/>
  <c r="M43" i="3" s="1"/>
  <c r="L44" i="3"/>
  <c r="M44" i="3"/>
  <c r="H29" i="3"/>
  <c r="I29" i="3" s="1"/>
  <c r="L21" i="3"/>
  <c r="M21" i="3" s="1"/>
  <c r="P21" i="3" s="1"/>
  <c r="Q21" i="3" s="1"/>
  <c r="L19" i="3"/>
  <c r="M19" i="3" s="1"/>
  <c r="L17" i="3"/>
  <c r="M17" i="3" s="1"/>
  <c r="L16" i="3"/>
  <c r="L47" i="3"/>
  <c r="M47" i="3" s="1"/>
  <c r="H125" i="3"/>
  <c r="I125" i="3"/>
  <c r="L115" i="3"/>
  <c r="H106" i="3"/>
  <c r="I106" i="3" s="1"/>
  <c r="H102" i="3"/>
  <c r="L125" i="3"/>
  <c r="H25" i="3"/>
  <c r="I25" i="3" s="1"/>
  <c r="L40" i="3"/>
  <c r="M40" i="3" s="1"/>
  <c r="L39" i="3"/>
  <c r="M39" i="3" s="1"/>
  <c r="H26" i="3"/>
  <c r="I26" i="3" s="1"/>
  <c r="H20" i="3"/>
  <c r="I20" i="3" s="1"/>
  <c r="H41" i="3"/>
  <c r="I41" i="3" s="1"/>
  <c r="H39" i="3"/>
  <c r="I39" i="3" s="1"/>
  <c r="H46" i="3"/>
  <c r="I46" i="3" s="1"/>
  <c r="H57" i="3"/>
  <c r="I57" i="3" s="1"/>
  <c r="H61" i="3"/>
  <c r="I61" i="3" s="1"/>
  <c r="L13" i="3"/>
  <c r="M13" i="3" s="1"/>
  <c r="P13" i="3" s="1"/>
  <c r="Q13" i="3" s="1"/>
  <c r="L29" i="3"/>
  <c r="M29" i="3" s="1"/>
  <c r="L27" i="3"/>
  <c r="M27" i="3" s="1"/>
  <c r="L28" i="3"/>
  <c r="M28" i="3" s="1"/>
  <c r="L26" i="3"/>
  <c r="M26" i="3" s="1"/>
  <c r="L22" i="3"/>
  <c r="M22" i="3" s="1"/>
  <c r="L20" i="3"/>
  <c r="M20" i="3" s="1"/>
  <c r="P20" i="3" s="1"/>
  <c r="Q20" i="3" s="1"/>
  <c r="L18" i="3"/>
  <c r="M18" i="3" s="1"/>
  <c r="H16" i="3"/>
  <c r="I16" i="3" s="1"/>
  <c r="L56" i="3"/>
  <c r="M56" i="3" s="1"/>
  <c r="L57" i="3"/>
  <c r="M57" i="3" s="1"/>
  <c r="L58" i="3"/>
  <c r="M58" i="3" s="1"/>
  <c r="L59" i="3"/>
  <c r="M59" i="3" s="1"/>
  <c r="L60" i="3"/>
  <c r="M60" i="3" s="1"/>
  <c r="L61" i="3"/>
  <c r="M61" i="3" s="1"/>
  <c r="L84" i="3"/>
  <c r="M84" i="3" s="1"/>
  <c r="H115" i="3"/>
  <c r="I115" i="3" s="1"/>
  <c r="H105" i="3"/>
  <c r="I105" i="3" s="1"/>
  <c r="H107" i="3"/>
  <c r="I107" i="3" s="1"/>
  <c r="H40" i="3"/>
  <c r="I40" i="3" s="1"/>
  <c r="H18" i="3"/>
  <c r="I18" i="3" s="1"/>
  <c r="H22" i="3"/>
  <c r="I22" i="3" s="1"/>
  <c r="H72" i="3"/>
  <c r="I72" i="3" s="1"/>
  <c r="H82" i="3"/>
  <c r="I82" i="3" s="1"/>
  <c r="H44" i="3"/>
  <c r="I44" i="3" s="1"/>
  <c r="H48" i="3"/>
  <c r="I48" i="3" s="1"/>
  <c r="H59" i="3"/>
  <c r="I59" i="3" s="1"/>
  <c r="H81" i="3"/>
  <c r="I81" i="3" s="1"/>
  <c r="L46" i="3"/>
  <c r="M46" i="3" s="1"/>
  <c r="H71" i="3"/>
  <c r="I71" i="3" s="1"/>
  <c r="L25" i="3"/>
  <c r="H12" i="3"/>
  <c r="F181" i="3" s="1"/>
  <c r="L62" i="3"/>
  <c r="M62" i="3" s="1"/>
  <c r="L72" i="3"/>
  <c r="M72" i="3" s="1"/>
  <c r="L73" i="3"/>
  <c r="M73" i="3" s="1"/>
  <c r="L74" i="3"/>
  <c r="M74" i="3" s="1"/>
  <c r="L75" i="3"/>
  <c r="M75" i="3" s="1"/>
  <c r="L76" i="3"/>
  <c r="M76" i="3" s="1"/>
  <c r="L82" i="3"/>
  <c r="M82" i="3" s="1"/>
  <c r="L83" i="3"/>
  <c r="M83" i="3" s="1"/>
  <c r="L81" i="3"/>
  <c r="M81" i="3" s="1"/>
  <c r="L71" i="3"/>
  <c r="M71" i="3" s="1"/>
  <c r="L38" i="3"/>
  <c r="M38" i="3" s="1"/>
  <c r="C7" i="20"/>
  <c r="L12" i="3"/>
  <c r="M12" i="3" s="1"/>
  <c r="P12" i="3" s="1"/>
  <c r="P14" i="3" s="1"/>
  <c r="I102" i="3"/>
  <c r="M125" i="3"/>
  <c r="M115" i="3"/>
  <c r="M16" i="3"/>
  <c r="C14" i="20"/>
  <c r="C35" i="20"/>
  <c r="E6" i="20"/>
  <c r="E26" i="20"/>
  <c r="C47" i="20"/>
  <c r="C41" i="20"/>
  <c r="C24" i="20"/>
  <c r="E12" i="20"/>
  <c r="E7" i="20"/>
  <c r="C6" i="20"/>
  <c r="C36" i="20"/>
  <c r="E23" i="20"/>
  <c r="E42" i="20"/>
  <c r="C52" i="20"/>
  <c r="C16" i="20"/>
  <c r="C22" i="20"/>
  <c r="E29" i="20"/>
  <c r="E24" i="20"/>
  <c r="C49" i="20"/>
  <c r="C17" i="20"/>
  <c r="C18" i="20"/>
  <c r="C27" i="20"/>
  <c r="C26" i="20"/>
  <c r="E43" i="20"/>
  <c r="E10" i="20"/>
  <c r="E38" i="20"/>
  <c r="E20" i="20"/>
  <c r="C48" i="20"/>
  <c r="C11" i="20"/>
  <c r="C12" i="20"/>
  <c r="C21" i="20"/>
  <c r="C42" i="20"/>
  <c r="C58" i="20"/>
  <c r="E25" i="20"/>
  <c r="E16" i="20"/>
  <c r="E35" i="20"/>
  <c r="E11" i="20"/>
  <c r="H2" i="20"/>
  <c r="C13" i="20"/>
  <c r="C23" i="20"/>
  <c r="E39" i="20"/>
  <c r="C59" i="20"/>
  <c r="E17" i="20"/>
  <c r="C8" i="20"/>
  <c r="C38" i="20"/>
  <c r="E21" i="20"/>
  <c r="E40" i="20"/>
  <c r="C50" i="20"/>
  <c r="C39" i="20"/>
  <c r="C20" i="20"/>
  <c r="H38" i="3"/>
  <c r="I38" i="3" s="1"/>
  <c r="E14" i="20"/>
  <c r="E9" i="20"/>
  <c r="C15" i="20"/>
  <c r="C25" i="20"/>
  <c r="E37" i="20"/>
  <c r="C57" i="20"/>
  <c r="E15" i="20"/>
  <c r="C9" i="20"/>
  <c r="C10" i="20"/>
  <c r="C43" i="20"/>
  <c r="C40" i="20"/>
  <c r="C56" i="20"/>
  <c r="E27" i="20"/>
  <c r="E18" i="20"/>
  <c r="E22" i="20"/>
  <c r="E13" i="20"/>
  <c r="C51" i="20"/>
  <c r="C37" i="20"/>
  <c r="C29" i="20"/>
  <c r="C28" i="20"/>
  <c r="E41" i="20"/>
  <c r="E8" i="20"/>
  <c r="E36" i="20"/>
  <c r="E28" i="20"/>
  <c r="E5" i="20"/>
  <c r="P16" i="3"/>
  <c r="Q16" i="3" s="1"/>
  <c r="F84" i="3" l="1"/>
  <c r="H84" i="3" s="1"/>
  <c r="I84" i="3" s="1"/>
  <c r="H83" i="3"/>
  <c r="I83" i="3" s="1"/>
  <c r="I85" i="3" s="1"/>
  <c r="L23" i="3"/>
  <c r="J17" i="22" s="1"/>
  <c r="E59" i="20"/>
  <c r="I104" i="3"/>
  <c r="I108" i="3" s="1"/>
  <c r="H108" i="3"/>
  <c r="L14" i="3"/>
  <c r="J16" i="22" s="1"/>
  <c r="E57" i="5"/>
  <c r="L30" i="3"/>
  <c r="J18" i="22" s="1"/>
  <c r="H73" i="3"/>
  <c r="I73" i="3" s="1"/>
  <c r="H74" i="3"/>
  <c r="I74" i="3" s="1"/>
  <c r="H75" i="3"/>
  <c r="I75" i="3" s="1"/>
  <c r="H50" i="3"/>
  <c r="I13" i="3"/>
  <c r="F62" i="5" s="1"/>
  <c r="H14" i="3"/>
  <c r="H16" i="22" s="1"/>
  <c r="I12" i="3"/>
  <c r="F61" i="5" s="1"/>
  <c r="M25" i="3"/>
  <c r="M30" i="3" s="1"/>
  <c r="E14" i="3"/>
  <c r="E23" i="3"/>
  <c r="G17" i="22" s="1"/>
  <c r="M23" i="3"/>
  <c r="K17" i="22" s="1"/>
  <c r="P17" i="3"/>
  <c r="Q17" i="3"/>
  <c r="L77" i="3"/>
  <c r="H181" i="3"/>
  <c r="H23" i="3"/>
  <c r="H17" i="22" s="1"/>
  <c r="E50" i="3"/>
  <c r="M14" i="3"/>
  <c r="K16" i="22" s="1"/>
  <c r="I19" i="3"/>
  <c r="I23" i="3" s="1"/>
  <c r="I28" i="3"/>
  <c r="I30" i="3" s="1"/>
  <c r="I18" i="22" s="1"/>
  <c r="I43" i="3"/>
  <c r="I47" i="3"/>
  <c r="E77" i="3"/>
  <c r="E89" i="3" s="1"/>
  <c r="G62" i="22" s="1"/>
  <c r="A90" i="22" s="1"/>
  <c r="Q12" i="3"/>
  <c r="Q14" i="3" s="1"/>
  <c r="C118" i="3"/>
  <c r="C117" i="3"/>
  <c r="G21" i="10"/>
  <c r="N39" i="3"/>
  <c r="N40" i="3" s="1"/>
  <c r="P38" i="3"/>
  <c r="F27" i="10"/>
  <c r="E27" i="10"/>
  <c r="M77" i="3"/>
  <c r="P18" i="3"/>
  <c r="P19" i="3"/>
  <c r="Q19" i="3" s="1"/>
  <c r="B123" i="3"/>
  <c r="M126" i="3"/>
  <c r="H30" i="3"/>
  <c r="L85" i="3"/>
  <c r="H126" i="3"/>
  <c r="I126" i="3" s="1"/>
  <c r="F26" i="10"/>
  <c r="P11" i="6"/>
  <c r="Q11" i="6" s="1"/>
  <c r="E116" i="3"/>
  <c r="G16" i="22"/>
  <c r="A21" i="22" s="1"/>
  <c r="E30" i="3"/>
  <c r="G18" i="22" s="1"/>
  <c r="A15" i="22" s="1"/>
  <c r="P22" i="6"/>
  <c r="Q22" i="6" s="1"/>
  <c r="O25" i="3"/>
  <c r="O22" i="3"/>
  <c r="O45" i="3"/>
  <c r="O47" i="3" s="1"/>
  <c r="O49" i="3" s="1"/>
  <c r="O44" i="3"/>
  <c r="O46" i="3" s="1"/>
  <c r="O48" i="3" s="1"/>
  <c r="J48" i="3"/>
  <c r="L48" i="3" s="1"/>
  <c r="M48" i="3" s="1"/>
  <c r="J49" i="3"/>
  <c r="L49" i="3" s="1"/>
  <c r="M49" i="3" s="1"/>
  <c r="K55" i="19"/>
  <c r="P16" i="6"/>
  <c r="Q16" i="6" s="1"/>
  <c r="D20" i="18"/>
  <c r="D17" i="18"/>
  <c r="E23" i="18"/>
  <c r="F21" i="18"/>
  <c r="F29" i="18"/>
  <c r="F16" i="18"/>
  <c r="D21" i="18"/>
  <c r="E25" i="18"/>
  <c r="E33" i="18"/>
  <c r="G31" i="18"/>
  <c r="E29" i="18"/>
  <c r="G27" i="18"/>
  <c r="J47" i="19"/>
  <c r="I47" i="19"/>
  <c r="L46" i="19"/>
  <c r="J46" i="19"/>
  <c r="K52" i="19"/>
  <c r="H46" i="19"/>
  <c r="H54" i="19"/>
  <c r="AB17" i="9"/>
  <c r="AB23" i="9"/>
  <c r="F19" i="18"/>
  <c r="E19" i="18"/>
  <c r="E16" i="18"/>
  <c r="D16" i="18"/>
  <c r="G17" i="18"/>
  <c r="G23" i="18"/>
  <c r="E21" i="18"/>
  <c r="H52" i="19"/>
  <c r="AB20" i="9"/>
  <c r="M31" i="9"/>
  <c r="N31" i="9" s="1"/>
  <c r="O31" i="9" s="1"/>
  <c r="C5" i="20"/>
  <c r="D18" i="18"/>
  <c r="L47" i="19"/>
  <c r="C55" i="3" s="1"/>
  <c r="I54" i="19"/>
  <c r="K54" i="19"/>
  <c r="E57" i="20"/>
  <c r="H85" i="3" l="1"/>
  <c r="H86" i="3" s="1"/>
  <c r="I77" i="3"/>
  <c r="I89" i="3" s="1"/>
  <c r="I62" i="22" s="1"/>
  <c r="B25" i="22"/>
  <c r="L33" i="3"/>
  <c r="L94" i="3"/>
  <c r="K94" i="3" s="1"/>
  <c r="H77" i="3"/>
  <c r="H89" i="3" s="1"/>
  <c r="H62" i="22" s="1"/>
  <c r="B74" i="22" s="1"/>
  <c r="H51" i="3"/>
  <c r="I14" i="3"/>
  <c r="I16" i="22" s="1"/>
  <c r="I50" i="3"/>
  <c r="I17" i="22"/>
  <c r="F63" i="5"/>
  <c r="A74" i="22"/>
  <c r="L78" i="3"/>
  <c r="E55" i="3"/>
  <c r="H55" i="3"/>
  <c r="L55" i="3"/>
  <c r="I55" i="19"/>
  <c r="O26" i="3"/>
  <c r="P22" i="3"/>
  <c r="Q22" i="3" s="1"/>
  <c r="M85" i="3"/>
  <c r="M89" i="3" s="1"/>
  <c r="K62" i="22" s="1"/>
  <c r="J62" i="22" s="1"/>
  <c r="B90" i="22" s="1"/>
  <c r="L86" i="3"/>
  <c r="E33" i="3"/>
  <c r="N41" i="3"/>
  <c r="P40" i="3"/>
  <c r="Q40" i="3" s="1"/>
  <c r="A25" i="22"/>
  <c r="M50" i="3"/>
  <c r="O29" i="3"/>
  <c r="P29" i="3" s="1"/>
  <c r="Q29" i="3" s="1"/>
  <c r="P25" i="3"/>
  <c r="F183" i="3"/>
  <c r="H94" i="3"/>
  <c r="H18" i="22"/>
  <c r="B15" i="22" s="1"/>
  <c r="C128" i="3"/>
  <c r="C127" i="3"/>
  <c r="Q18" i="3"/>
  <c r="H183" i="3"/>
  <c r="H33" i="3"/>
  <c r="H31" i="3" s="1"/>
  <c r="J55" i="19"/>
  <c r="E94" i="3"/>
  <c r="L50" i="3"/>
  <c r="P39" i="3"/>
  <c r="Q39" i="3" s="1"/>
  <c r="L117" i="3"/>
  <c r="H117" i="3"/>
  <c r="E117" i="3"/>
  <c r="K89" i="3"/>
  <c r="I116" i="3"/>
  <c r="M116" i="3"/>
  <c r="Q38" i="3"/>
  <c r="L118" i="3"/>
  <c r="E118" i="3"/>
  <c r="E121" i="3" s="1"/>
  <c r="G63" i="22" s="1"/>
  <c r="H118" i="3"/>
  <c r="M33" i="3"/>
  <c r="K105" i="5" s="1"/>
  <c r="N75" i="5" s="1"/>
  <c r="K18" i="22"/>
  <c r="L55" i="19"/>
  <c r="C54" i="3"/>
  <c r="H55" i="19"/>
  <c r="F64" i="5" l="1"/>
  <c r="H78" i="3"/>
  <c r="I33" i="3"/>
  <c r="K104" i="5" s="1"/>
  <c r="K106" i="5" s="1"/>
  <c r="L121" i="3"/>
  <c r="J63" i="22" s="1"/>
  <c r="B94" i="22" s="1"/>
  <c r="Q23" i="3"/>
  <c r="G94" i="3"/>
  <c r="F94" i="3"/>
  <c r="P23" i="3"/>
  <c r="H54" i="3"/>
  <c r="H63" i="3" s="1"/>
  <c r="L54" i="3"/>
  <c r="L63" i="3" s="1"/>
  <c r="L95" i="3" s="1"/>
  <c r="C63" i="3"/>
  <c r="E54" i="3"/>
  <c r="A78" i="22"/>
  <c r="A94" i="22"/>
  <c r="M117" i="3"/>
  <c r="I117" i="3"/>
  <c r="L51" i="3"/>
  <c r="L127" i="3"/>
  <c r="H127" i="3"/>
  <c r="E127" i="3"/>
  <c r="O27" i="3"/>
  <c r="P26" i="3"/>
  <c r="Q26" i="3" s="1"/>
  <c r="M118" i="3"/>
  <c r="M121" i="3" s="1"/>
  <c r="I118" i="3"/>
  <c r="H121" i="3"/>
  <c r="N142" i="3"/>
  <c r="J94" i="3"/>
  <c r="E128" i="3"/>
  <c r="L128" i="3"/>
  <c r="H128" i="3"/>
  <c r="Q25" i="3"/>
  <c r="N42" i="3"/>
  <c r="P41" i="3"/>
  <c r="J105" i="5"/>
  <c r="J104" i="5"/>
  <c r="L31" i="3"/>
  <c r="I55" i="3"/>
  <c r="M55" i="3"/>
  <c r="L122" i="3" l="1"/>
  <c r="N74" i="5"/>
  <c r="I121" i="3"/>
  <c r="I63" i="22" s="1"/>
  <c r="K67" i="3"/>
  <c r="H131" i="3"/>
  <c r="H132" i="3" s="1"/>
  <c r="Q121" i="3"/>
  <c r="K63" i="22"/>
  <c r="M94" i="3"/>
  <c r="O139" i="3" s="1"/>
  <c r="K75" i="5" s="1"/>
  <c r="N139" i="3"/>
  <c r="J75" i="5" s="1"/>
  <c r="H122" i="3"/>
  <c r="H63" i="22"/>
  <c r="B78" i="22" s="1"/>
  <c r="O28" i="3"/>
  <c r="P28" i="3" s="1"/>
  <c r="Q28" i="3" s="1"/>
  <c r="P27" i="3"/>
  <c r="Q27" i="3" s="1"/>
  <c r="Q41" i="3"/>
  <c r="K95" i="3"/>
  <c r="L96" i="3"/>
  <c r="I94" i="3"/>
  <c r="O138" i="3" s="1"/>
  <c r="K74" i="5" s="1"/>
  <c r="N138" i="3"/>
  <c r="J74" i="5" s="1"/>
  <c r="M127" i="3"/>
  <c r="I127" i="3"/>
  <c r="E131" i="3"/>
  <c r="G64" i="22" s="1"/>
  <c r="H67" i="3"/>
  <c r="H61" i="22" s="1"/>
  <c r="B69" i="22" s="1"/>
  <c r="H95" i="3"/>
  <c r="E63" i="3"/>
  <c r="I54" i="3"/>
  <c r="I63" i="3" s="1"/>
  <c r="M54" i="3"/>
  <c r="N43" i="3"/>
  <c r="P42" i="3"/>
  <c r="Q42" i="3" s="1"/>
  <c r="M128" i="3"/>
  <c r="I128" i="3"/>
  <c r="L131" i="3"/>
  <c r="H64" i="22" l="1"/>
  <c r="B82" i="22" s="1"/>
  <c r="Q30" i="3"/>
  <c r="Q33" i="3" s="1"/>
  <c r="E95" i="3"/>
  <c r="F95" i="3" s="1"/>
  <c r="E67" i="3"/>
  <c r="G61" i="22" s="1"/>
  <c r="K96" i="3"/>
  <c r="L132" i="3"/>
  <c r="H184" i="3"/>
  <c r="J64" i="22"/>
  <c r="B100" i="22" s="1"/>
  <c r="N44" i="3"/>
  <c r="P43" i="3"/>
  <c r="Q43" i="3" s="1"/>
  <c r="M63" i="3"/>
  <c r="M67" i="3" s="1"/>
  <c r="K61" i="22" s="1"/>
  <c r="A100" i="22"/>
  <c r="A82" i="22"/>
  <c r="I67" i="3"/>
  <c r="I61" i="22" s="1"/>
  <c r="F65" i="5"/>
  <c r="G95" i="3"/>
  <c r="H96" i="3"/>
  <c r="I131" i="3"/>
  <c r="I64" i="22" s="1"/>
  <c r="F184" i="3"/>
  <c r="M131" i="3"/>
  <c r="L64" i="3"/>
  <c r="P30" i="3"/>
  <c r="H64" i="3"/>
  <c r="G96" i="3" l="1"/>
  <c r="Q131" i="3"/>
  <c r="K64" i="22"/>
  <c r="A86" i="22"/>
  <c r="A69" i="22"/>
  <c r="J61" i="22"/>
  <c r="B86" i="22" s="1"/>
  <c r="P31" i="3"/>
  <c r="P94" i="3"/>
  <c r="P33" i="3"/>
  <c r="F182" i="3"/>
  <c r="F185" i="3" s="1"/>
  <c r="D43" i="23" s="1"/>
  <c r="I95" i="3"/>
  <c r="F138" i="3"/>
  <c r="C74" i="5" s="1"/>
  <c r="J100" i="5"/>
  <c r="J99" i="5"/>
  <c r="F142" i="3"/>
  <c r="E96" i="3"/>
  <c r="J96" i="3" s="1"/>
  <c r="M96" i="3" s="1"/>
  <c r="J95" i="3"/>
  <c r="N45" i="3"/>
  <c r="P44" i="3"/>
  <c r="Q44" i="3" s="1"/>
  <c r="M95" i="3" l="1"/>
  <c r="F139" i="3"/>
  <c r="C75" i="5" s="1"/>
  <c r="H182" i="3"/>
  <c r="H185" i="3" s="1"/>
  <c r="H43" i="23" s="1"/>
  <c r="N46" i="3"/>
  <c r="P45" i="3"/>
  <c r="Q45" i="3" s="1"/>
  <c r="N94" i="3"/>
  <c r="Q94" i="3" s="1"/>
  <c r="O94" i="3"/>
  <c r="N143" i="3"/>
  <c r="G138" i="3"/>
  <c r="D74" i="5" s="1"/>
  <c r="K99" i="5"/>
  <c r="F96" i="3"/>
  <c r="I96" i="3" s="1"/>
  <c r="G74" i="5" l="1"/>
  <c r="P46" i="3"/>
  <c r="Q46" i="3" s="1"/>
  <c r="N47" i="3"/>
  <c r="G139" i="3"/>
  <c r="D75" i="5" s="1"/>
  <c r="K100" i="5"/>
  <c r="G75" i="5" s="1"/>
  <c r="K101" i="5" l="1"/>
  <c r="N48" i="3"/>
  <c r="P47" i="3"/>
  <c r="Q47" i="3" s="1"/>
  <c r="N49" i="3" l="1"/>
  <c r="P48" i="3"/>
  <c r="Q48" i="3" s="1"/>
  <c r="N54" i="3" l="1"/>
  <c r="P49" i="3"/>
  <c r="Q49" i="3" l="1"/>
  <c r="Q50" i="3" s="1"/>
  <c r="P50" i="3"/>
  <c r="N55" i="3"/>
  <c r="P54" i="3"/>
  <c r="N56" i="3" l="1"/>
  <c r="P55" i="3"/>
  <c r="Q55" i="3" s="1"/>
  <c r="P51" i="3"/>
  <c r="Q54" i="3"/>
  <c r="N57" i="3" l="1"/>
  <c r="P56" i="3"/>
  <c r="Q56" i="3" l="1"/>
  <c r="N58" i="3"/>
  <c r="P57" i="3"/>
  <c r="Q57" i="3" s="1"/>
  <c r="N59" i="3" l="1"/>
  <c r="P58" i="3"/>
  <c r="Q58" i="3" l="1"/>
  <c r="N60" i="3"/>
  <c r="P59" i="3"/>
  <c r="Q59" i="3" s="1"/>
  <c r="N61" i="3" l="1"/>
  <c r="P60" i="3"/>
  <c r="N62" i="3" l="1"/>
  <c r="P61" i="3"/>
  <c r="Q61" i="3" s="1"/>
  <c r="Q60" i="3"/>
  <c r="N71" i="3" l="1"/>
  <c r="P62" i="3"/>
  <c r="Q62" i="3" s="1"/>
  <c r="Q63" i="3" s="1"/>
  <c r="Q67" i="3" s="1"/>
  <c r="N72" i="3" l="1"/>
  <c r="P71" i="3"/>
  <c r="P63" i="3"/>
  <c r="Q71" i="3" l="1"/>
  <c r="P64" i="3"/>
  <c r="P67" i="3"/>
  <c r="N73" i="3"/>
  <c r="P72" i="3"/>
  <c r="Q72" i="3" s="1"/>
  <c r="N74" i="3" l="1"/>
  <c r="P73" i="3"/>
  <c r="Q73" i="3" s="1"/>
  <c r="N75" i="3" l="1"/>
  <c r="P74" i="3"/>
  <c r="Q74" i="3" s="1"/>
  <c r="N76" i="3" l="1"/>
  <c r="P75" i="3"/>
  <c r="Q75" i="3" s="1"/>
  <c r="N81" i="3" l="1"/>
  <c r="P76" i="3"/>
  <c r="Q76" i="3" s="1"/>
  <c r="Q77" i="3" s="1"/>
  <c r="P77" i="3" l="1"/>
  <c r="P81" i="3"/>
  <c r="N82" i="3"/>
  <c r="N83" i="3" l="1"/>
  <c r="P82" i="3"/>
  <c r="Q82" i="3" s="1"/>
  <c r="Q81" i="3"/>
  <c r="P78" i="3"/>
  <c r="N84" i="3" l="1"/>
  <c r="P84" i="3" s="1"/>
  <c r="Q84" i="3" s="1"/>
  <c r="P83" i="3"/>
  <c r="Q83" i="3" l="1"/>
  <c r="Q85" i="3" s="1"/>
  <c r="Q89" i="3" s="1"/>
  <c r="P85" i="3"/>
  <c r="P86" i="3" l="1"/>
  <c r="P89" i="3"/>
  <c r="P95" i="3"/>
  <c r="O95" i="3" l="1"/>
  <c r="N95" i="3"/>
  <c r="Q95" i="3" s="1"/>
  <c r="F143" i="3"/>
  <c r="P96" i="3"/>
  <c r="O96" i="3" l="1"/>
  <c r="N96" i="3"/>
  <c r="Q96" i="3" s="1"/>
</calcChain>
</file>

<file path=xl/sharedStrings.xml><?xml version="1.0" encoding="utf-8"?>
<sst xmlns="http://schemas.openxmlformats.org/spreadsheetml/2006/main" count="1694" uniqueCount="671">
  <si>
    <t>Atencion Ambulatoria y Urgencia</t>
  </si>
  <si>
    <t>Consulta medica General</t>
  </si>
  <si>
    <t>Precio</t>
  </si>
  <si>
    <t>Cantidad</t>
  </si>
  <si>
    <t>Consulta Psquiatrica</t>
  </si>
  <si>
    <t>SubTotal</t>
  </si>
  <si>
    <t>Examenes frecuentes</t>
  </si>
  <si>
    <t>Hemograma</t>
  </si>
  <si>
    <t>Estudio Lipidos Sanguineos</t>
  </si>
  <si>
    <t>Perfil Bioquimico</t>
  </si>
  <si>
    <t>Urocultivo</t>
  </si>
  <si>
    <t>Orina Completa</t>
  </si>
  <si>
    <t>Electrocardiograma reposo</t>
  </si>
  <si>
    <t>Endoscopia Digestiva Normal</t>
  </si>
  <si>
    <t>Imageneologia ( scanner,RX)</t>
  </si>
  <si>
    <t>Radiografia de Torax</t>
  </si>
  <si>
    <t>Mamografia Bilateral</t>
  </si>
  <si>
    <t>TAC Cerebro</t>
  </si>
  <si>
    <t>Ecografia Abdominal</t>
  </si>
  <si>
    <t>Ecografia Ginecologica</t>
  </si>
  <si>
    <t>Pabellon</t>
  </si>
  <si>
    <t>UTI Adulto</t>
  </si>
  <si>
    <t>UTI Coronario ( 1 dia)</t>
  </si>
  <si>
    <t>Pieza Individual ( 5 dias)</t>
  </si>
  <si>
    <t>Medicamentos</t>
  </si>
  <si>
    <t>Materiales Clinicos</t>
  </si>
  <si>
    <t>Banco de Sangre</t>
  </si>
  <si>
    <t>Radiologia</t>
  </si>
  <si>
    <t>Laboratorio Clinico</t>
  </si>
  <si>
    <t>Valvula Mitral</t>
  </si>
  <si>
    <t>Cirujano</t>
  </si>
  <si>
    <t>Anestecista 40%</t>
  </si>
  <si>
    <t>Primer ayudante 25%</t>
  </si>
  <si>
    <t>Segundo ayudante 20%</t>
  </si>
  <si>
    <t>Perfusionista 20%</t>
  </si>
  <si>
    <t>Tercer ayudante 20%</t>
  </si>
  <si>
    <t>Cadilogo tratante 25%</t>
  </si>
  <si>
    <t>Arsenalera 10%</t>
  </si>
  <si>
    <t>Procedimientos</t>
  </si>
  <si>
    <t>Atencion Hospitalaria y Cirugias</t>
  </si>
  <si>
    <t>Recuperacion 2 horas</t>
  </si>
  <si>
    <t>Dia Cama</t>
  </si>
  <si>
    <t>Laboratorio</t>
  </si>
  <si>
    <t>Anestecista 30%</t>
  </si>
  <si>
    <t>Ayudante 25%</t>
  </si>
  <si>
    <t>Reembolso</t>
  </si>
  <si>
    <t>Copago</t>
  </si>
  <si>
    <t>Valor UF</t>
  </si>
  <si>
    <t>Tope UF</t>
  </si>
  <si>
    <t>% Bonif</t>
  </si>
  <si>
    <t xml:space="preserve">Total </t>
  </si>
  <si>
    <t>Cirugia simple</t>
  </si>
  <si>
    <t>Preparado para</t>
  </si>
  <si>
    <t>Fecha</t>
  </si>
  <si>
    <t>Antecedentes Generales:</t>
  </si>
  <si>
    <t>Sexo</t>
  </si>
  <si>
    <t>Edad</t>
  </si>
  <si>
    <t>Isapre</t>
  </si>
  <si>
    <t>Plan Actual</t>
  </si>
  <si>
    <t>Total Ambulatorias</t>
  </si>
  <si>
    <t>I - Cirugia Cardiaca</t>
  </si>
  <si>
    <t>II- Equipo Medico</t>
  </si>
  <si>
    <t>III- Apendicectomia</t>
  </si>
  <si>
    <t>IV- Equipo Medico</t>
  </si>
  <si>
    <t>Total Cirugía Cardiaca</t>
  </si>
  <si>
    <t>Costo total  Apendicectomía</t>
  </si>
  <si>
    <t>Pabellon 2 Cod. fonasa 1703062</t>
  </si>
  <si>
    <t>Puente Aortocoronario (protesis)</t>
  </si>
  <si>
    <t>UF</t>
  </si>
  <si>
    <t>Tipo de Plan</t>
  </si>
  <si>
    <t>INFORME CLIENTE:  EVALUACION PLAN DE SALUD</t>
  </si>
  <si>
    <t>Grupo Familiar</t>
  </si>
  <si>
    <t>Plan actual de Isapre</t>
  </si>
  <si>
    <t>Preexistencias</t>
  </si>
  <si>
    <t>PLAN ISAPRE ACTUAL</t>
  </si>
  <si>
    <t>PLAN ISAPRE SUGERIDO</t>
  </si>
  <si>
    <t>COMPLEMENTARIO DE SALUD</t>
  </si>
  <si>
    <t>% COBERTURA</t>
  </si>
  <si>
    <t>V.-</t>
  </si>
  <si>
    <t>Atencion dental</t>
  </si>
  <si>
    <t>Radiografia</t>
  </si>
  <si>
    <t>Implantes</t>
  </si>
  <si>
    <t>Tratamiento conductos</t>
  </si>
  <si>
    <t>Limpieza</t>
  </si>
  <si>
    <t>Caries</t>
  </si>
  <si>
    <t>Frenillos</t>
  </si>
  <si>
    <t>Colmena Seguros</t>
  </si>
  <si>
    <t>Plan 70%</t>
  </si>
  <si>
    <t>Cuadro de beneficios</t>
  </si>
  <si>
    <t>% reembolso</t>
  </si>
  <si>
    <t>Tope Prestación UF</t>
  </si>
  <si>
    <t>Tope anual UF</t>
  </si>
  <si>
    <t>Prestaciones Ambulatorias</t>
  </si>
  <si>
    <t>Consulta Médica</t>
  </si>
  <si>
    <t>Exámenes de Laboratorio</t>
  </si>
  <si>
    <t>Exámenes Radiológicos</t>
  </si>
  <si>
    <t>Procedimientos de Diagnóstico no Quirúrgico</t>
  </si>
  <si>
    <t>Procedimientos Quirúrgicos</t>
  </si>
  <si>
    <t>Tratam. Kinesiología o Fonoaudiología</t>
  </si>
  <si>
    <t>Procedimientos Terapeúticos o Quirúrgicos</t>
  </si>
  <si>
    <t>Prestaciones Hospitalarias</t>
  </si>
  <si>
    <t>Día Cama (*)</t>
  </si>
  <si>
    <t>Medicamentos Hospitalarios</t>
  </si>
  <si>
    <t>Materiales Clínicos</t>
  </si>
  <si>
    <t>Exámenes y Procedimientos</t>
  </si>
  <si>
    <t>Derecho de Pabellón</t>
  </si>
  <si>
    <t>Honorarios Médicos Quirúrgicos</t>
  </si>
  <si>
    <t>Servcios de Ambulancia</t>
  </si>
  <si>
    <t>Prestaciones de Maternidad</t>
  </si>
  <si>
    <t>Parto Normal</t>
  </si>
  <si>
    <t>Cesarea</t>
  </si>
  <si>
    <t>Aborto NO provocado</t>
  </si>
  <si>
    <t>Complicaciones del Embarazo</t>
  </si>
  <si>
    <t>Complicaciones del Parto</t>
  </si>
  <si>
    <t>Prestaciones Siquiatricas y Sicológicas</t>
  </si>
  <si>
    <t>Consultas o Sesiones de Siquiatría</t>
  </si>
  <si>
    <t>Consultas o Sesiones de Sicología</t>
  </si>
  <si>
    <t>Consultas o Sesiones de Sicopedagogía</t>
  </si>
  <si>
    <t>Hospitalización Siquiatrica</t>
  </si>
  <si>
    <t>Prestaciones Complementarias</t>
  </si>
  <si>
    <t>Cristales, Marcos y Lentes de Contacto</t>
  </si>
  <si>
    <t>Prótesis y Ortesis (Incluye audífonos)</t>
  </si>
  <si>
    <t>Cirugía Ocular Lásik</t>
  </si>
  <si>
    <t xml:space="preserve"> (*)</t>
  </si>
  <si>
    <t>Máximo 30 días</t>
  </si>
  <si>
    <t>Monto Máximo de Cobertura</t>
  </si>
  <si>
    <t>Deducible por Asegurado</t>
  </si>
  <si>
    <t>Deducible máximo por grupo familiar</t>
  </si>
  <si>
    <t>S/T</t>
  </si>
  <si>
    <t xml:space="preserve">Cobertura Espejo </t>
  </si>
  <si>
    <t xml:space="preserve">Plan A: Cobertura Espejo </t>
  </si>
  <si>
    <t>Prima Neta Anual UF</t>
  </si>
  <si>
    <t>Prima Neta Mensual UF</t>
  </si>
  <si>
    <t>Asegurado Titular</t>
  </si>
  <si>
    <t>0 Carga</t>
  </si>
  <si>
    <t>1 Carga</t>
  </si>
  <si>
    <t>2 Carga</t>
  </si>
  <si>
    <t>3 Carga</t>
  </si>
  <si>
    <t>19-24</t>
  </si>
  <si>
    <t>25-29</t>
  </si>
  <si>
    <t>30-34</t>
  </si>
  <si>
    <t>35-39</t>
  </si>
  <si>
    <t>40-44</t>
  </si>
  <si>
    <t>45-49</t>
  </si>
  <si>
    <t>50-54</t>
  </si>
  <si>
    <t>50-59</t>
  </si>
  <si>
    <t>60-64</t>
  </si>
  <si>
    <t>Titular</t>
  </si>
  <si>
    <t>Carga 2</t>
  </si>
  <si>
    <t>VI.-</t>
  </si>
  <si>
    <t>Derecho pabellon</t>
  </si>
  <si>
    <t>Honorarios medicos</t>
  </si>
  <si>
    <t>Honorarios matrona</t>
  </si>
  <si>
    <t>Atencion inmediata R.N</t>
  </si>
  <si>
    <t>Visita del neonatologo</t>
  </si>
  <si>
    <t>ViI.-</t>
  </si>
  <si>
    <t>Parto Cesarea</t>
  </si>
  <si>
    <t>Dia cama</t>
  </si>
  <si>
    <t>Resumen</t>
  </si>
  <si>
    <t>Hospitalizacion</t>
  </si>
  <si>
    <t>Actual</t>
  </si>
  <si>
    <t>Propuesto</t>
  </si>
  <si>
    <t>% Cobertura</t>
  </si>
  <si>
    <t>Copago UF</t>
  </si>
  <si>
    <t>Nombre de Plan Actual</t>
  </si>
  <si>
    <t>utilizadas  por los asegurados en clinicas y hospitales de nuestro pais como base. El resultado le indicara como se comportaria su actual plan de salud</t>
  </si>
  <si>
    <t>ante estos posibles eventos indicando el reembolso obtenido por parte de su isapre y la diferencia no cubierta por el mismo que usted tendria que</t>
  </si>
  <si>
    <t>financiar de su propio bolsillo o por medio de algun tipo de seguro que cubriese esta diferencia, es por ello que nosotros entregamos una fotografia</t>
  </si>
  <si>
    <t>Antecedentes</t>
  </si>
  <si>
    <t>Valores prestaciones</t>
  </si>
  <si>
    <t>Especialidad</t>
  </si>
  <si>
    <t>Examenes medicos</t>
  </si>
  <si>
    <t>Cirugia alto costo</t>
  </si>
  <si>
    <t>Parto</t>
  </si>
  <si>
    <t>ANUALES</t>
  </si>
  <si>
    <t>Alemana</t>
  </si>
  <si>
    <t>Detalle</t>
  </si>
  <si>
    <t>En base a simulaciones de eventos de mayor uso.</t>
  </si>
  <si>
    <t>I.-</t>
  </si>
  <si>
    <t>Cobertura Hospitalizacion</t>
  </si>
  <si>
    <t>Clinica Preferente</t>
  </si>
  <si>
    <t>Indisa</t>
  </si>
  <si>
    <t>% Faltante</t>
  </si>
  <si>
    <t>Plan</t>
  </si>
  <si>
    <t>Colmena</t>
  </si>
  <si>
    <t>Vida Tres</t>
  </si>
  <si>
    <t>II.-</t>
  </si>
  <si>
    <t>Cobertura Ambulatoria</t>
  </si>
  <si>
    <t>TOTALES</t>
  </si>
  <si>
    <t>Total Ambulatorio</t>
  </si>
  <si>
    <t>Total Hospitalizacion</t>
  </si>
  <si>
    <t>III.-</t>
  </si>
  <si>
    <t xml:space="preserve">que utlice sus prestadores preferentes es decir aquellos que tienen convenio con su isapre. </t>
  </si>
  <si>
    <t>A continuacion entregamos un detalles de sus prestadores para su atencion:</t>
  </si>
  <si>
    <t>Prestacion</t>
  </si>
  <si>
    <t>Institucion</t>
  </si>
  <si>
    <t>Ambulatoria</t>
  </si>
  <si>
    <t>Examenes</t>
  </si>
  <si>
    <t>Consultas especialidad</t>
  </si>
  <si>
    <t>Farmacia</t>
  </si>
  <si>
    <t>Sonorad</t>
  </si>
  <si>
    <t>Integramedica</t>
  </si>
  <si>
    <t>Adicional UF</t>
  </si>
  <si>
    <t>Total Final UF</t>
  </si>
  <si>
    <t>Total Ahorro UF</t>
  </si>
  <si>
    <t>Para que pueda llevar a cabo su programa de salud en forma eficiente y rentabilizar sus coberturas de acuerdo a su cotizacion pactada es necesario</t>
  </si>
  <si>
    <t>El no seguir su programa de salud insidira directamente en su bolsillo pudiendo sufrir alzas de precios tanto en su plan de salud con su isapre</t>
  </si>
  <si>
    <t>como asi mismo en sus otros complementarios de salud o seguros vigentes o incluso ser desafiliado.</t>
  </si>
  <si>
    <t>Para tener una aproximacion lo mas certera posible, este analisis se realizo en base a uso y frecuencia de quellas prestaciones mas</t>
  </si>
  <si>
    <t>Prestaciones Valorizadas por Clinicas</t>
  </si>
  <si>
    <t>Las Condes</t>
  </si>
  <si>
    <t>Sta Maria</t>
  </si>
  <si>
    <t>San Carlos</t>
  </si>
  <si>
    <t>Davila</t>
  </si>
  <si>
    <t>Supuestos uso prestaciones</t>
  </si>
  <si>
    <t>Nombre Plan</t>
  </si>
  <si>
    <t>C.S.I</t>
  </si>
  <si>
    <t>TOPE MAXIMO</t>
  </si>
  <si>
    <t>AÑO CONTRATO</t>
  </si>
  <si>
    <t>POR BENEFICIARIO</t>
  </si>
  <si>
    <t>HOSPITALARIAS Y CIRUGIA MAYOR AMBULATORIA</t>
  </si>
  <si>
    <t>Día cama</t>
  </si>
  <si>
    <t>90 % Libre Elección</t>
  </si>
  <si>
    <t>80 % en Clínica Las Condes</t>
  </si>
  <si>
    <t>80 % en Clínica Las Nieves</t>
  </si>
  <si>
    <t>80 % en Clínica Alemana de Santiago</t>
  </si>
  <si>
    <t>Día cama cuidados intensivos o coronarios</t>
  </si>
  <si>
    <t>Día cama cuidados intermedios</t>
  </si>
  <si>
    <t>Derecho Pabellón</t>
  </si>
  <si>
    <t>Imagenología (RX, ECO, TAC, RNM)</t>
  </si>
  <si>
    <t>Kinesiología</t>
  </si>
  <si>
    <t>Materiales e Insumos Clínicos</t>
  </si>
  <si>
    <t>Quimioterapia</t>
  </si>
  <si>
    <t>AMBULATORIAS</t>
  </si>
  <si>
    <t>Quimioterapia Igual a Quimioterapia Hospitalaria</t>
  </si>
  <si>
    <t>PRESTACIONES RESTRINGIDAS</t>
  </si>
  <si>
    <t>OTRAS COBERTURAS</t>
  </si>
  <si>
    <t>Lentes (cristales no neutros) 70% 1.40 UF 1.40 UF</t>
  </si>
  <si>
    <t>mismas en CLINICA INDISA</t>
  </si>
  <si>
    <t>% BONIFICACION</t>
  </si>
  <si>
    <t>TOPE BONIFICACION</t>
  </si>
  <si>
    <t>PRESTACIONES</t>
  </si>
  <si>
    <t>2.40 AC</t>
  </si>
  <si>
    <t xml:space="preserve">Procedimientos </t>
  </si>
  <si>
    <t>24.00 AC</t>
  </si>
  <si>
    <t>1.30 UF por vez</t>
  </si>
  <si>
    <t>1.20 UF por vez</t>
  </si>
  <si>
    <t>6.00 AC</t>
  </si>
  <si>
    <t>60.00 UF</t>
  </si>
  <si>
    <t>1.30 UF</t>
  </si>
  <si>
    <t xml:space="preserve">Honorarios Médico Quirúrgicos (HMQ) </t>
  </si>
  <si>
    <t xml:space="preserve">Visita por Médico Tratante </t>
  </si>
  <si>
    <t xml:space="preserve">Visita por Médico Interconsultor </t>
  </si>
  <si>
    <t xml:space="preserve">Prótesis, Ortesis y Elementos Osteosíntesis </t>
  </si>
  <si>
    <t xml:space="preserve">Traslados Médicos </t>
  </si>
  <si>
    <t>0.85 UF</t>
  </si>
  <si>
    <t>4.00 UF</t>
  </si>
  <si>
    <t xml:space="preserve">Consulta Médica </t>
  </si>
  <si>
    <t xml:space="preserve">Exámenes de Laboratorio </t>
  </si>
  <si>
    <t xml:space="preserve">Imagenología (RX,ECO,TAC,RNM) </t>
  </si>
  <si>
    <t xml:space="preserve">Kinesiología </t>
  </si>
  <si>
    <t xml:space="preserve">Fonoaudiología </t>
  </si>
  <si>
    <t>3.00 UF</t>
  </si>
  <si>
    <t>12.00 UF</t>
  </si>
  <si>
    <t xml:space="preserve">Atención Integral de Enfermería y Nutricionista </t>
  </si>
  <si>
    <t xml:space="preserve">Radioterapia </t>
  </si>
  <si>
    <t xml:space="preserve">Prótesis y Ortesis </t>
  </si>
  <si>
    <t xml:space="preserve">Pabellón Ambulatorio </t>
  </si>
  <si>
    <t xml:space="preserve">Box Ambulatorio </t>
  </si>
  <si>
    <t>0.60 UF</t>
  </si>
  <si>
    <t>1.80 UF</t>
  </si>
  <si>
    <t>9.00 UF</t>
  </si>
  <si>
    <t>1.25 UF por dia</t>
  </si>
  <si>
    <t>37.50 UF</t>
  </si>
  <si>
    <t>25% de la cobertura general</t>
  </si>
  <si>
    <t xml:space="preserve">Consulta Psiquiatría y/o Psicología </t>
  </si>
  <si>
    <t xml:space="preserve">Consulta Psiquiátrica Hospitalaria </t>
  </si>
  <si>
    <t xml:space="preserve">Hospitalización por Enfermedad Psiquiátrica </t>
  </si>
  <si>
    <t xml:space="preserve">Hospitalización por Parto y Cesárea </t>
  </si>
  <si>
    <t xml:space="preserve">Hospitalización Neonatológica 25% </t>
  </si>
  <si>
    <t>1.40 UF</t>
  </si>
  <si>
    <t xml:space="preserve">Insumos y anestésicos en cirugía ambulatoria </t>
  </si>
  <si>
    <t>Igual a Materiales e Insumos Clínicos en Cirugía Mayor</t>
  </si>
  <si>
    <t xml:space="preserve">Cobertura Internacional prestaciones Hospitalarias </t>
  </si>
  <si>
    <t>Igual a la cobertura nacional con un tope máximo para cada prestación igual al precio de las</t>
  </si>
  <si>
    <t xml:space="preserve">Cobertura Internacional prestaciones Ambulatorias y HMQ </t>
  </si>
  <si>
    <t>Igual a la cobertura nacional</t>
  </si>
  <si>
    <t xml:space="preserve">Cobertura adicional para Enfermedades Catastróficas </t>
  </si>
  <si>
    <t>En Listado Prestadores CAEC Red de Atención M</t>
  </si>
  <si>
    <t xml:space="preserve">Sin Tope </t>
  </si>
  <si>
    <t>Ambulatorio</t>
  </si>
  <si>
    <t xml:space="preserve">Cotizacion Pactada </t>
  </si>
  <si>
    <t xml:space="preserve">Adicional </t>
  </si>
  <si>
    <t xml:space="preserve">Total Final </t>
  </si>
  <si>
    <t>Gasto UF</t>
  </si>
  <si>
    <t>Total Hospital</t>
  </si>
  <si>
    <t>Nombre</t>
  </si>
  <si>
    <t>Prestador</t>
  </si>
  <si>
    <t>Siniestro</t>
  </si>
  <si>
    <t>Propuesta</t>
  </si>
  <si>
    <t>Maternidad</t>
  </si>
  <si>
    <t>INFORME CLIENTE:  REPORTE SINIESTRALIDAD COMPLEMENTARIO DE SALUD COLECTIVO</t>
  </si>
  <si>
    <t>: Nombre Empresa</t>
  </si>
  <si>
    <t>: 28 Septiembre 2015</t>
  </si>
  <si>
    <t>Aseguradora</t>
  </si>
  <si>
    <t>: Metlife</t>
  </si>
  <si>
    <t>Año</t>
  </si>
  <si>
    <t>Ambulatorias</t>
  </si>
  <si>
    <t>SINIESTRALIDAD</t>
  </si>
  <si>
    <t>$</t>
  </si>
  <si>
    <t>Total</t>
  </si>
  <si>
    <t>Prima</t>
  </si>
  <si>
    <t>Pagada</t>
  </si>
  <si>
    <t>Aumento</t>
  </si>
  <si>
    <t>Incremento</t>
  </si>
  <si>
    <t>Base</t>
  </si>
  <si>
    <t>1.1.-</t>
  </si>
  <si>
    <t>Historico (Siniestros + prima pagada)</t>
  </si>
  <si>
    <t>1.2.-</t>
  </si>
  <si>
    <t>% / total</t>
  </si>
  <si>
    <t>Siniestros por asegurado ultimo año ( Entregado por el cliente)</t>
  </si>
  <si>
    <t>Nomina del personal asegurado</t>
  </si>
  <si>
    <t>Antes reembolso C.S.C</t>
  </si>
  <si>
    <t>Frecuencia de uso y prestadores utilizados</t>
  </si>
  <si>
    <t>Define la conveniencia o no de cambiar de modalidad de seguro</t>
  </si>
  <si>
    <t>a un fondo solidario de acuerdo a prima pagada y siniestros ocurridos.</t>
  </si>
  <si>
    <t>N° Casos</t>
  </si>
  <si>
    <t>%</t>
  </si>
  <si>
    <t>Prestaciones Hospitalizacion</t>
  </si>
  <si>
    <t>Medicenter</t>
  </si>
  <si>
    <t>Santa Maria</t>
  </si>
  <si>
    <t>UC San Carlos</t>
  </si>
  <si>
    <t>Hospt. UC</t>
  </si>
  <si>
    <t xml:space="preserve">UC </t>
  </si>
  <si>
    <t>Otros</t>
  </si>
  <si>
    <t xml:space="preserve">Red prestadores en convenio de acuedo a Isapre </t>
  </si>
  <si>
    <t>Banmedica</t>
  </si>
  <si>
    <t>Mas Vida</t>
  </si>
  <si>
    <t>Cruz Blanca</t>
  </si>
  <si>
    <t>Consalud</t>
  </si>
  <si>
    <t>Control siniestralidad</t>
  </si>
  <si>
    <t>Dependera de cada aseguradora lo aceptable entre prima pagada y siniestros ocurridos</t>
  </si>
  <si>
    <t>para al momento de renovar el seguro no exista alza de prima.</t>
  </si>
  <si>
    <t>Recomendamos situarse en tasas no mayores al 78% al final de la vigencia de la poliza</t>
  </si>
  <si>
    <t>es decir 1 año.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</si>
  <si>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</si>
  <si>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</si>
  <si>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</si>
  <si>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</si>
  <si>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</si>
  <si>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</si>
  <si>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</si>
  <si>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</si>
  <si>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</si>
  <si>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</si>
  <si>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</si>
  <si>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</si>
  <si>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Periodo</t>
  </si>
  <si>
    <t xml:space="preserve">Prima </t>
  </si>
  <si>
    <t>Acumulada</t>
  </si>
  <si>
    <t>N° Siniestros</t>
  </si>
  <si>
    <t>Acumulados</t>
  </si>
  <si>
    <t>Total %</t>
  </si>
  <si>
    <t>2.-</t>
  </si>
  <si>
    <t xml:space="preserve">Plan sugerido </t>
  </si>
  <si>
    <t>1.2.1.-</t>
  </si>
  <si>
    <t>1.2.2.-</t>
  </si>
  <si>
    <t>: 100</t>
  </si>
  <si>
    <t>Total Asegurados</t>
  </si>
  <si>
    <t>INFORMACION REQUERIDA A ENTREGAR POR EL CLIENTE</t>
  </si>
  <si>
    <t>Vigencia</t>
  </si>
  <si>
    <t>Fonasa</t>
  </si>
  <si>
    <t>Afliados</t>
  </si>
  <si>
    <t>Prestador utilizado</t>
  </si>
  <si>
    <t>Prestador convenio</t>
  </si>
  <si>
    <t>: 01/01/2015</t>
  </si>
  <si>
    <t>Valor Plan</t>
  </si>
  <si>
    <t>Normal</t>
  </si>
  <si>
    <t>Histerectomia</t>
  </si>
  <si>
    <t>Hernia</t>
  </si>
  <si>
    <t>Amidalas</t>
  </si>
  <si>
    <t>FONASA</t>
  </si>
  <si>
    <t>MLE</t>
  </si>
  <si>
    <t>Red Publica</t>
  </si>
  <si>
    <t>COBERTURAS</t>
  </si>
  <si>
    <t>Consultas</t>
  </si>
  <si>
    <t>Honorarios Medicos</t>
  </si>
  <si>
    <t>Nivel 3</t>
  </si>
  <si>
    <t>Profesor</t>
  </si>
  <si>
    <t>Trabajador</t>
  </si>
  <si>
    <t>U.de Chile</t>
  </si>
  <si>
    <t>U.C</t>
  </si>
  <si>
    <t>HOSPITALES</t>
  </si>
  <si>
    <t>PLAN FONASA</t>
  </si>
  <si>
    <t>H. Profesor</t>
  </si>
  <si>
    <t>H. U.Chile</t>
  </si>
  <si>
    <t>Mega Salud</t>
  </si>
  <si>
    <t>Seguro alto costo</t>
  </si>
  <si>
    <t>Cobertura</t>
  </si>
  <si>
    <t>Complementario</t>
  </si>
  <si>
    <t>N/A</t>
  </si>
  <si>
    <t>Convenio</t>
  </si>
  <si>
    <t>Convenio preferente</t>
  </si>
  <si>
    <t>Total Ahorro $</t>
  </si>
  <si>
    <t>Carga 4</t>
  </si>
  <si>
    <t>REDUCIDA</t>
  </si>
  <si>
    <t xml:space="preserve"> Cirugia Cardiaca</t>
  </si>
  <si>
    <t>Frecuencia</t>
  </si>
  <si>
    <t>% Uso</t>
  </si>
  <si>
    <t>CANTIDAD</t>
  </si>
  <si>
    <t>Otras prestaciones</t>
  </si>
  <si>
    <t>Procedimientos apoyo clinico</t>
  </si>
  <si>
    <t>Ges</t>
  </si>
  <si>
    <t>Insumos y materiales clinicos</t>
  </si>
  <si>
    <t>Drogras anineoplasitas</t>
  </si>
  <si>
    <t>Otras drogras</t>
  </si>
  <si>
    <t>Sin clasificar</t>
  </si>
  <si>
    <t>Prestaciones mayor Uso</t>
  </si>
  <si>
    <t>Fte: Ine 2014</t>
  </si>
  <si>
    <t>M</t>
  </si>
  <si>
    <t>TOPE ANUAL</t>
  </si>
  <si>
    <t>SIN COBERTURA</t>
  </si>
  <si>
    <t>CONVENIO</t>
  </si>
  <si>
    <t>Probabilidad</t>
  </si>
  <si>
    <t>ANALISIS PARA CLINICA PREFERENTE</t>
  </si>
  <si>
    <t>VALORES $</t>
  </si>
  <si>
    <t>actual y sugerimos un camino alternativo anticipado realizando combinaciones optimas entre los innumerables planes de salud que existen en el</t>
  </si>
  <si>
    <t>SUPUESTOS DEL MODELO DE ANALISIS</t>
  </si>
  <si>
    <t>RESULTADOS DEL ANALISIS DE SU PLAN DE SALUD ACTUAL VS ALTERNATIVA SUGERIDA</t>
  </si>
  <si>
    <t>(UF)</t>
  </si>
  <si>
    <t>(*): 4 consultas anuales por beneficiario</t>
  </si>
  <si>
    <t>POLITICA DE CREDITO</t>
  </si>
  <si>
    <t>A.- Optimizacion:</t>
  </si>
  <si>
    <t>0-50</t>
  </si>
  <si>
    <t>51 -100</t>
  </si>
  <si>
    <t>101-500</t>
  </si>
  <si>
    <t>501 0 mas</t>
  </si>
  <si>
    <t>NUMERO DE PAGOS</t>
  </si>
  <si>
    <t>TRABAJADORES</t>
  </si>
  <si>
    <t>mercado y adicionando de ser el caso algun tipo de seguro.</t>
  </si>
  <si>
    <t>F</t>
  </si>
  <si>
    <t>Carga 1</t>
  </si>
  <si>
    <t>n/a</t>
  </si>
  <si>
    <t>Carga 5</t>
  </si>
  <si>
    <t>Carga 3</t>
  </si>
  <si>
    <t>ANEXO COBERTURA MATERNAL</t>
  </si>
  <si>
    <t>Total Ambulatorias y Urgencia</t>
  </si>
  <si>
    <t>I- Apendicectomia</t>
  </si>
  <si>
    <t>Total Cirugía de Apéndice</t>
  </si>
  <si>
    <t xml:space="preserve"> Hospitalizacion</t>
  </si>
  <si>
    <t>Cobert.</t>
  </si>
  <si>
    <t>Reemb. UF</t>
  </si>
  <si>
    <t>Reemb. $</t>
  </si>
  <si>
    <t>Copago %</t>
  </si>
  <si>
    <t>Valor Prest. $</t>
  </si>
  <si>
    <t>Plan Sugerido</t>
  </si>
  <si>
    <t>Plan Sugerido + Complementario de salud</t>
  </si>
  <si>
    <t>Cobert Comp.</t>
  </si>
  <si>
    <t>% Copago</t>
  </si>
  <si>
    <t>IV.-</t>
  </si>
  <si>
    <t>Recomendaciones</t>
  </si>
  <si>
    <t>Consultas medicas (*)</t>
  </si>
  <si>
    <t xml:space="preserve">Cantidad </t>
  </si>
  <si>
    <t>Optimizado</t>
  </si>
  <si>
    <t>Item</t>
  </si>
  <si>
    <t>U.Chile</t>
  </si>
  <si>
    <t>Nivel 1</t>
  </si>
  <si>
    <t>Nivel 2</t>
  </si>
  <si>
    <t>Valor</t>
  </si>
  <si>
    <t>MODALIDAD LIBRE ELECCION ( SISTEMA PRIVADO) CLINICAS</t>
  </si>
  <si>
    <t>NIVEL 1</t>
  </si>
  <si>
    <t>NIVEL 2</t>
  </si>
  <si>
    <t>NIVEL 3</t>
  </si>
  <si>
    <t>MLE NIVEL 3</t>
  </si>
  <si>
    <t>Valor $</t>
  </si>
  <si>
    <t>PLAN ACTUAL</t>
  </si>
  <si>
    <t>PLAN SUGERIDO</t>
  </si>
  <si>
    <t>Cartilla</t>
  </si>
  <si>
    <t>SIN TOPE</t>
  </si>
  <si>
    <t>Pabellon 2 codigo fonasa</t>
  </si>
  <si>
    <t>Puente aortocoronario</t>
  </si>
  <si>
    <t>FACTORES</t>
  </si>
  <si>
    <t>En el plan</t>
  </si>
  <si>
    <t>PONER EN VALOR CARTLLA SOLO CELDAS VERDES</t>
  </si>
  <si>
    <t>Partos</t>
  </si>
  <si>
    <t>Dental</t>
  </si>
  <si>
    <t>Centro</t>
  </si>
  <si>
    <t>% Descuento</t>
  </si>
  <si>
    <t>Vida Integra</t>
  </si>
  <si>
    <t>s/c</t>
  </si>
  <si>
    <t>Uno Salud</t>
  </si>
  <si>
    <t>Atencion dental por beneficiario</t>
  </si>
  <si>
    <t>menor 18 años</t>
  </si>
  <si>
    <t>Tope Año por beneficiario</t>
  </si>
  <si>
    <t>CUADRO RESUMEN</t>
  </si>
  <si>
    <t>AFILIADO</t>
  </si>
  <si>
    <t>GASTO BOLSILLO</t>
  </si>
  <si>
    <t>Ingreso</t>
  </si>
  <si>
    <t>Bolsillo</t>
  </si>
  <si>
    <t>x Beneficiario</t>
  </si>
  <si>
    <t>Nivel</t>
  </si>
  <si>
    <t>TOPE UF</t>
  </si>
  <si>
    <t>Reeembolso</t>
  </si>
  <si>
    <t>Tope Uf</t>
  </si>
  <si>
    <t>COBERTURA TOTAL PLAN SUGERIDO + SEGURO</t>
  </si>
  <si>
    <t>BANMEDICA</t>
  </si>
  <si>
    <t>Tola Plata ZC/15B</t>
  </si>
  <si>
    <t>: DAVILA</t>
  </si>
  <si>
    <t>no</t>
  </si>
  <si>
    <t>DAVILA</t>
  </si>
  <si>
    <t>V.- Beneficio ( Ahorro costo) AÑO</t>
  </si>
  <si>
    <t>Gasto</t>
  </si>
  <si>
    <t>Pago Bolsillo</t>
  </si>
  <si>
    <t>ACTUAL</t>
  </si>
  <si>
    <t>RECOMENDADO</t>
  </si>
  <si>
    <t>AHORRO NETO AÑO</t>
  </si>
  <si>
    <t>AMBULATORIO</t>
  </si>
  <si>
    <t>HOSPITAL</t>
  </si>
  <si>
    <t>Pago bolsillo</t>
  </si>
  <si>
    <t>tipo de perjucuicio que este pudiese ocacionar salvo lo estrictamente contractual contenido en el plan y cartilla de prestaciones</t>
  </si>
  <si>
    <t>Ante el evento que se tome la recomendacion de cambio sugerida por NH PARTENERS este NO se hara responsable de cualquier</t>
  </si>
  <si>
    <t>valorizadas de la alternativa propuesta..</t>
  </si>
  <si>
    <t>Consultas medicas</t>
  </si>
  <si>
    <t>Imageneologia</t>
  </si>
  <si>
    <t>Copago $</t>
  </si>
  <si>
    <t>Prestaciones</t>
  </si>
  <si>
    <t>HOSPITALARIAS</t>
  </si>
  <si>
    <t>Girugia Mayor</t>
  </si>
  <si>
    <t>Cirugia menor</t>
  </si>
  <si>
    <t>: Jorge Arrian</t>
  </si>
  <si>
    <t>: 31 de Mayo 2016</t>
  </si>
  <si>
    <t>Plata 23/10</t>
  </si>
  <si>
    <t>Solicitado por:</t>
  </si>
  <si>
    <t>Preparado para:</t>
  </si>
  <si>
    <t>Edad Titular</t>
  </si>
  <si>
    <t>2.- Antecedentes plan actual de salud:</t>
  </si>
  <si>
    <t>Sistema Actual</t>
  </si>
  <si>
    <t>Nombre del plan</t>
  </si>
  <si>
    <t>Preexistencia</t>
  </si>
  <si>
    <t>Detalle Preexistencia</t>
  </si>
  <si>
    <t>Clinica pereferente</t>
  </si>
  <si>
    <t>Plan Actual UF</t>
  </si>
  <si>
    <t>Plan Recomendado UF</t>
  </si>
  <si>
    <t>Ahorro Neto UF</t>
  </si>
  <si>
    <t>Ahorro Neto $</t>
  </si>
  <si>
    <t>Coberturas</t>
  </si>
  <si>
    <t>3.- Plan e Isapre sugeridas de acuerdo a perfil:</t>
  </si>
  <si>
    <t>1.- Datos del afliado:</t>
  </si>
  <si>
    <t>Composición de grupo familiar:</t>
  </si>
  <si>
    <t>Informe de Evaluación de Plan de Salud</t>
  </si>
  <si>
    <t>5.- Análisis comparativo de coberturas</t>
  </si>
  <si>
    <t>Integrante</t>
  </si>
  <si>
    <t>Exámenes</t>
  </si>
  <si>
    <t>Consultas Médicas</t>
  </si>
  <si>
    <t>Nuevo</t>
  </si>
  <si>
    <t>Hospitalización</t>
  </si>
  <si>
    <t>Cobertura Promedio Actual</t>
  </si>
  <si>
    <t>Antigüedad en meses</t>
  </si>
  <si>
    <t>Convenio prestador</t>
  </si>
  <si>
    <t>Costo mensual UF</t>
  </si>
  <si>
    <t>6.- Consideraciones Finales</t>
  </si>
  <si>
    <t>daño que se derive de los servicios del asesor prestados.</t>
  </si>
  <si>
    <t>RESUMEN GRAFICOS REPORT</t>
  </si>
  <si>
    <t>Cob.%</t>
  </si>
  <si>
    <t>Prom</t>
  </si>
  <si>
    <t>Cob%</t>
  </si>
  <si>
    <t>Recomend</t>
  </si>
  <si>
    <t>4.- Ahorro Mensual por cambio de plan:</t>
  </si>
  <si>
    <t>Cobertura Promedio Mejorada</t>
  </si>
  <si>
    <t>realizar el cambio o recomendación sugerida.</t>
  </si>
  <si>
    <t>mayor 6 meses</t>
  </si>
  <si>
    <t>TMSU 1522 ( Mat. Bas 15/22)</t>
  </si>
  <si>
    <t>para quienes fue emitido, sin el consentimiento previo de NH Partners. La información contenida y las conclusiones infor-</t>
  </si>
  <si>
    <t>madas sirve como material de discusión, y no se puede depender de ella como documento único ni basarse en este documento</t>
  </si>
  <si>
    <t xml:space="preserve"> para ningún propósito de manera exclusiva. Tanto las evaluaciones como las estimaciones</t>
  </si>
  <si>
    <t>sobre los planes, optimización de los mismos, precios y las conclusiones de los mismos contenidas en este informe se basan</t>
  </si>
  <si>
    <t>en metodologías de valorización estándares aplicadas únicamente para le emisión del presente informe, no son estimaciones</t>
  </si>
  <si>
    <t>definitivas y no están garantizadas por N.H Partners SpA. Este ultimo a utilizado información publica y/o confidencial y asunciones</t>
  </si>
  <si>
    <t>que le han sido proporcionadas por el cliente sin que se hayan verificado, de manera independiente, la información y asunciones</t>
  </si>
  <si>
    <t>utilizadas para dicho análisis. Asimismo, N.H Partners SpA rechaza expresamente toda responsabilidad en relación con los</t>
  </si>
  <si>
    <t>servicios de asesoría y , en ningún caso, podrá ser considerada responsable frente a las demás partes por cualquier perdida o</t>
  </si>
  <si>
    <t xml:space="preserve"> de las cuales NO están considerados los beneficios ADICIONALES que no estén contenidos en dichas cartillas.</t>
  </si>
  <si>
    <t>NH PARTNERS          Alonso de Córdova 5870        Oficina 413     Las Condes      Teléfono 569- 966494344</t>
  </si>
  <si>
    <t>1.- La información y conclusiones contenidos en este informe no puede ser reproducido o entregado a otras personas distintas de</t>
  </si>
  <si>
    <t xml:space="preserve">2.- NH Partners SpA NO se hace responsable de preexistencias no declaradas por el titular de este informe al momento de </t>
  </si>
  <si>
    <r>
      <t xml:space="preserve">3.- Dicho análisis esta preparado sobre la base de un comparativo de las </t>
    </r>
    <r>
      <rPr>
        <b/>
        <sz val="9"/>
        <rFont val="Tahoma"/>
        <family val="2"/>
      </rPr>
      <t>CARTILLAS DE PRESTACIONES VALORIZADAS</t>
    </r>
    <r>
      <rPr>
        <sz val="9"/>
        <rFont val="Tahoma"/>
        <family val="2"/>
      </rPr>
      <t xml:space="preserve"> dentro </t>
    </r>
  </si>
  <si>
    <t>Fecha: 19/11/2016</t>
  </si>
  <si>
    <t>Derco</t>
  </si>
  <si>
    <t>Oscar Saenz Perez</t>
  </si>
  <si>
    <t>56 Años</t>
  </si>
  <si>
    <t>CRUZ BLANCA</t>
  </si>
  <si>
    <t>Todo Familia D</t>
  </si>
  <si>
    <t>Clínica Alemana</t>
  </si>
  <si>
    <t>Esofagitis</t>
  </si>
  <si>
    <t>Nota: Cambio sujeto</t>
  </si>
  <si>
    <t>a evaluacion nueva</t>
  </si>
  <si>
    <t>Isapre recomedada</t>
  </si>
  <si>
    <t>Derecho de Pabellón 6 (D1)</t>
  </si>
  <si>
    <t>Honorarios Médicos</t>
  </si>
  <si>
    <t>Honorarios Matrona</t>
  </si>
  <si>
    <t>Atención Inmediata recién nacido</t>
  </si>
  <si>
    <t>Visita del Neonatólogo</t>
  </si>
  <si>
    <t>Derecho de Pabellón 7 (D1)</t>
  </si>
  <si>
    <t>Derecho de Pabellón 7 (D)</t>
  </si>
  <si>
    <t>Derecho de Pabellón 10 (D)</t>
  </si>
  <si>
    <t>Derecho de Pabellón 8 (D)</t>
  </si>
  <si>
    <t>Derecho de Pabellón 5 (D)</t>
  </si>
  <si>
    <t>Derecho de Pabellón 14 (D)</t>
  </si>
  <si>
    <t>Derecho de Pabellón 12 (D)</t>
  </si>
  <si>
    <t>Medicina y/o Cirugía (D)</t>
  </si>
  <si>
    <t>Sala cuna (D1)</t>
  </si>
  <si>
    <t>U.T.I. Adulto (D)</t>
  </si>
  <si>
    <t>U.T.I. Pediatría (D)</t>
  </si>
  <si>
    <t>U.T.I. Neonatal (D1)</t>
  </si>
  <si>
    <t>Apendicectomía (B) (D)</t>
  </si>
  <si>
    <t>Hospitalización por Neumonía (B) (D)</t>
  </si>
  <si>
    <t>Consulta médica electiva ó urgencia</t>
  </si>
  <si>
    <t>Consulta Psiquiátrica (A)</t>
  </si>
  <si>
    <t>Estudio de lípidos sanguíneos</t>
  </si>
  <si>
    <t>Perfil Bioquímico</t>
  </si>
  <si>
    <t>Orina completa</t>
  </si>
  <si>
    <t>Densitometría osea</t>
  </si>
  <si>
    <t>Citodiagnóstico corriente</t>
  </si>
  <si>
    <t>Estudio histopatológico corriente</t>
  </si>
  <si>
    <t>Exploración vitreorretinal</t>
  </si>
  <si>
    <t>Electrocardiograma de reposo</t>
  </si>
  <si>
    <t>Ecocardiograma Doppler</t>
  </si>
  <si>
    <t>Gastroduodenoscopía</t>
  </si>
  <si>
    <t>Hemodiálisis con insumos incluidos</t>
  </si>
  <si>
    <t>Rodillera, bota larga ó corta de yeso</t>
  </si>
  <si>
    <t>Radiografía de tórax</t>
  </si>
  <si>
    <t>Mamografía bilateral</t>
  </si>
  <si>
    <t>Radiografía de brazo, codo, muñeca ó similares</t>
  </si>
  <si>
    <t>Tomografía axial</t>
  </si>
  <si>
    <t>Ecotomografía abdominal</t>
  </si>
  <si>
    <t>Ecotomografía ginecológica</t>
  </si>
  <si>
    <t>Ejercicios respiratorios (A)</t>
  </si>
  <si>
    <t>Reeducación motriz (A)</t>
  </si>
  <si>
    <t>HOSPITALARIA</t>
  </si>
  <si>
    <t>PARTO NORMAL</t>
  </si>
  <si>
    <t>PARTO POR CESAREA</t>
  </si>
  <si>
    <t>APENDICE¶TOMIA</t>
  </si>
  <si>
    <t>COLECISTECTOMIA POR VIDEOLAPAROSCOPIA</t>
  </si>
  <si>
    <t>HISTERECTOMIA TOTAL</t>
  </si>
  <si>
    <t>AMIGDALECTOMIA</t>
  </si>
  <si>
    <t>CIRUGIA CARDIACA DE COMPLEJIDAD MAYOR</t>
  </si>
  <si>
    <t>EXTIRPACION¶¶¶ TUMOR Y/O QUISTE ENCEFALICO</t>
  </si>
  <si>
    <t>DIAS CAMA</t>
  </si>
  <si>
    <t>MEDICAMENTOS Y MAT. CLINICOS¶ Para los siguientes eventos:</t>
  </si>
  <si>
    <t>AMBULATORIA</t>
  </si>
  <si>
    <t>CONSULTAS</t>
  </si>
  <si>
    <t>EXAMENES Y PROCEDIMIENTOS</t>
  </si>
  <si>
    <t>IMAGENOLOGIA</t>
  </si>
  <si>
    <t>MEDICINA FISICA</t>
  </si>
  <si>
    <t>CATEGORÍA</t>
  </si>
  <si>
    <t>PRESTACIÓN</t>
  </si>
  <si>
    <t>% DE BONIFICACIÓN LIBRE</t>
  </si>
  <si>
    <t>TOPE LIBRE</t>
  </si>
  <si>
    <t>% DE BONIFICACIÓN PREFERENTE</t>
  </si>
  <si>
    <t>TOPE PREFERENTE</t>
  </si>
  <si>
    <t>SERVICIO</t>
  </si>
  <si>
    <t>CHECK</t>
  </si>
  <si>
    <t>Carga 6</t>
  </si>
  <si>
    <t>Carga 7</t>
  </si>
  <si>
    <t>Carga 8</t>
  </si>
  <si>
    <t>-</t>
  </si>
  <si>
    <t>Si</t>
  </si>
  <si>
    <t>Libre</t>
  </si>
  <si>
    <t>% DE BONIFICACIÓN</t>
  </si>
  <si>
    <t>TOPE</t>
  </si>
  <si>
    <t>SINTOPE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</si>
</sst>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0.0"/>
    <numFmt numFmtId="166" formatCode="0.0%"/>
    <numFmt numFmtId="167" formatCode="0.0000"/>
    <numFmt numFmtId="168" formatCode="&quot;$&quot;\ #,##0"/>
    <numFmt numFmtId="169" formatCode="#,##0.0"/>
    <numFmt numFmtId="170" formatCode="[$$-45C]#,##0"/>
  </numFmts>
  <fonts count="102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sz val="9"/>
      <name val="Calibri"/>
      <family val="2"/>
    </font>
    <font>
      <sz val="8"/>
      <color indexed="55"/>
      <name val="Calibri"/>
      <family val="2"/>
    </font>
    <font>
      <b/>
      <sz val="8"/>
      <color indexed="55"/>
      <name val="Calibri"/>
      <family val="2"/>
    </font>
    <font>
      <b/>
      <sz val="8"/>
      <name val="Calibri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0" tint="-0.499984740745262"/>
      <name val="Arial"/>
      <family val="2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</font>
    <font>
      <b/>
      <sz val="8"/>
      <name val="Arial"/>
      <family val="2"/>
    </font>
    <font>
      <b/>
      <sz val="8"/>
      <color theme="1"/>
      <name val="Calibri"/>
      <family val="2"/>
    </font>
    <font>
      <sz val="9"/>
      <name val="Arial"/>
      <family val="2"/>
    </font>
    <font>
      <b/>
      <sz val="10"/>
      <color indexed="48"/>
      <name val="Calibri"/>
      <family val="2"/>
    </font>
    <font>
      <sz val="9"/>
      <name val="Calibri"/>
      <family val="2"/>
      <scheme val="minor"/>
    </font>
    <font>
      <b/>
      <sz val="9"/>
      <name val="Arial"/>
      <family val="2"/>
    </font>
    <font>
      <b/>
      <sz val="9"/>
      <color theme="4" tint="-0.249977111117893"/>
      <name val="Arial"/>
      <family val="2"/>
    </font>
    <font>
      <b/>
      <sz val="9"/>
      <name val="Calibri"/>
      <family val="2"/>
      <scheme val="minor"/>
    </font>
    <font>
      <b/>
      <i/>
      <u/>
      <sz val="9"/>
      <name val="Calibri"/>
      <family val="2"/>
      <scheme val="minor"/>
    </font>
    <font>
      <sz val="9"/>
      <color theme="4" tint="-0.249977111117893"/>
      <name val="Arial"/>
      <family val="2"/>
    </font>
    <font>
      <i/>
      <sz val="8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b/>
      <i/>
      <sz val="10"/>
      <color theme="3" tint="0.3999755851924192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i/>
      <u/>
      <sz val="8"/>
      <name val="Calibri"/>
      <family val="2"/>
      <scheme val="minor"/>
    </font>
    <font>
      <b/>
      <sz val="9"/>
      <color theme="3" tint="0.39997558519241921"/>
      <name val="Calibri"/>
      <family val="2"/>
      <scheme val="minor"/>
    </font>
    <font>
      <b/>
      <sz val="9"/>
      <color indexed="48"/>
      <name val="Calibri"/>
      <family val="2"/>
      <scheme val="minor"/>
    </font>
    <font>
      <b/>
      <sz val="8"/>
      <color theme="3" tint="0.39997558519241921"/>
      <name val="Calibri"/>
      <family val="2"/>
    </font>
    <font>
      <b/>
      <sz val="8"/>
      <color theme="3" tint="0.39997558519241921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i/>
      <sz val="10"/>
      <name val="Arial"/>
      <family val="2"/>
    </font>
    <font>
      <i/>
      <sz val="11"/>
      <color rgb="FF7F7F7F"/>
      <name val="Calibri"/>
      <family val="2"/>
      <scheme val="minor"/>
    </font>
    <font>
      <b/>
      <sz val="8"/>
      <color theme="3" tint="0.39997558519241921"/>
      <name val="Arial"/>
      <family val="2"/>
    </font>
    <font>
      <sz val="11"/>
      <name val="Calibri"/>
      <family val="2"/>
    </font>
    <font>
      <sz val="8"/>
      <color theme="0" tint="-0.34998626667073579"/>
      <name val="Calibri"/>
      <family val="2"/>
    </font>
    <font>
      <b/>
      <i/>
      <sz val="10"/>
      <color theme="3" tint="0.39997558519241921"/>
      <name val="Arial"/>
      <family val="2"/>
    </font>
    <font>
      <b/>
      <sz val="12"/>
      <color indexed="48"/>
      <name val="Calibri"/>
      <family val="2"/>
    </font>
    <font>
      <i/>
      <sz val="9"/>
      <name val="Calibri"/>
      <family val="2"/>
      <scheme val="minor"/>
    </font>
    <font>
      <b/>
      <sz val="8"/>
      <color theme="4" tint="-0.249977111117893"/>
      <name val="Arial"/>
      <family val="2"/>
    </font>
    <font>
      <b/>
      <sz val="9"/>
      <color rgb="FFFF0000"/>
      <name val="Calibri"/>
      <family val="2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u/>
      <sz val="8"/>
      <name val="Calibri"/>
      <family val="2"/>
    </font>
    <font>
      <b/>
      <sz val="8"/>
      <color rgb="FF00B0F0"/>
      <name val="Calibri"/>
      <family val="2"/>
      <scheme val="minor"/>
    </font>
    <font>
      <b/>
      <u/>
      <sz val="8"/>
      <name val="Arial"/>
      <family val="2"/>
    </font>
    <font>
      <b/>
      <u/>
      <sz val="9"/>
      <name val="Calibri"/>
      <family val="2"/>
    </font>
    <font>
      <b/>
      <sz val="8"/>
      <color theme="0" tint="-0.34998626667073579"/>
      <name val="Arial"/>
      <family val="2"/>
    </font>
    <font>
      <i/>
      <sz val="8"/>
      <name val="Calibri"/>
      <family val="2"/>
    </font>
    <font>
      <i/>
      <sz val="8"/>
      <color theme="1"/>
      <name val="Calibri"/>
      <family val="2"/>
    </font>
    <font>
      <sz val="8"/>
      <color theme="0" tint="-0.499984740745262"/>
      <name val="Calibri"/>
      <family val="2"/>
    </font>
    <font>
      <sz val="12"/>
      <name val="Calibri"/>
      <family val="2"/>
    </font>
    <font>
      <b/>
      <sz val="10"/>
      <name val="Calibri"/>
      <family val="2"/>
    </font>
    <font>
      <b/>
      <sz val="12"/>
      <name val="Calibri"/>
      <family val="2"/>
    </font>
    <font>
      <u/>
      <sz val="8"/>
      <name val="Calibri"/>
      <family val="2"/>
    </font>
    <font>
      <sz val="8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i/>
      <sz val="10"/>
      <name val="Calibri"/>
      <family val="2"/>
      <scheme val="minor"/>
    </font>
    <font>
      <sz val="10"/>
      <color rgb="FF00B050"/>
      <name val="Arial"/>
      <family val="2"/>
    </font>
    <font>
      <b/>
      <sz val="10"/>
      <color rgb="FFFF0000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u/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u/>
      <sz val="9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"/>
      <name val="Calibri"/>
      <family val="2"/>
      <scheme val="minor"/>
    </font>
    <font>
      <sz val="1"/>
      <name val="Calibri"/>
      <family val="2"/>
      <scheme val="minor"/>
    </font>
    <font>
      <i/>
      <sz val="1"/>
      <name val="Calibri"/>
      <family val="2"/>
      <scheme val="minor"/>
    </font>
    <font>
      <b/>
      <sz val="10"/>
      <name val="Arial"/>
      <family val="2"/>
    </font>
    <font>
      <b/>
      <sz val="14"/>
      <color indexed="48"/>
      <name val="Calibri"/>
      <family val="2"/>
    </font>
    <font>
      <sz val="9"/>
      <name val="Tahoma"/>
      <family val="2"/>
    </font>
    <font>
      <b/>
      <sz val="10"/>
      <name val="Tahoma"/>
      <family val="2"/>
    </font>
    <font>
      <b/>
      <sz val="10"/>
      <color indexed="48"/>
      <name val="Tahoma"/>
      <family val="2"/>
    </font>
    <font>
      <b/>
      <sz val="9"/>
      <name val="Tahoma"/>
      <family val="2"/>
    </font>
    <font>
      <b/>
      <sz val="10"/>
      <color theme="0"/>
      <name val="Tahoma"/>
      <family val="2"/>
    </font>
    <font>
      <sz val="9"/>
      <color theme="0"/>
      <name val="Tahoma"/>
      <family val="2"/>
    </font>
    <font>
      <sz val="10"/>
      <color rgb="FF002060"/>
      <name val="Tahoma"/>
      <family val="2"/>
    </font>
    <font>
      <sz val="9"/>
      <color rgb="FF002060"/>
      <name val="Tahoma"/>
      <family val="2"/>
    </font>
    <font>
      <b/>
      <sz val="10"/>
      <color rgb="FF002060"/>
      <name val="Tahoma"/>
      <family val="2"/>
    </font>
    <font>
      <sz val="1"/>
      <name val="Arial"/>
      <family val="2"/>
    </font>
    <font>
      <b/>
      <sz val="9"/>
      <color rgb="FFFF0000"/>
      <name val="Tahoma"/>
      <family val="2"/>
    </font>
    <font>
      <i/>
      <u/>
      <sz val="9"/>
      <name val="Tahoma"/>
      <family val="2"/>
    </font>
    <font>
      <i/>
      <u/>
      <sz val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gradientFill degree="45">
        <stop position="0">
          <color theme="0"/>
        </stop>
        <stop position="1">
          <color theme="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49" fillId="0" borderId="0" applyNumberFormat="0" applyFill="0" applyBorder="0" applyAlignment="0" applyProtection="0"/>
  </cellStyleXfs>
  <cellXfs count="877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right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/>
    <xf numFmtId="0" fontId="14" fillId="0" borderId="0" xfId="0" applyFont="1"/>
    <xf numFmtId="0" fontId="8" fillId="5" borderId="0" xfId="0" applyFont="1" applyFill="1"/>
    <xf numFmtId="0" fontId="16" fillId="5" borderId="0" xfId="0" applyFont="1" applyFill="1" applyAlignment="1">
      <alignment horizontal="left"/>
    </xf>
    <xf numFmtId="0" fontId="16" fillId="5" borderId="0" xfId="0" applyFont="1" applyFill="1"/>
    <xf numFmtId="0" fontId="16" fillId="5" borderId="3" xfId="0" applyFont="1" applyFill="1" applyBorder="1" applyAlignment="1">
      <alignment wrapText="1"/>
    </xf>
    <xf numFmtId="0" fontId="16" fillId="5" borderId="3" xfId="0" applyFont="1" applyFill="1" applyBorder="1" applyAlignment="1">
      <alignment horizontal="center" wrapText="1"/>
    </xf>
    <xf numFmtId="0" fontId="16" fillId="5" borderId="7" xfId="0" applyFont="1" applyFill="1" applyBorder="1" applyAlignment="1">
      <alignment horizontal="left"/>
    </xf>
    <xf numFmtId="0" fontId="16" fillId="4" borderId="8" xfId="0" applyFont="1" applyFill="1" applyBorder="1"/>
    <xf numFmtId="9" fontId="8" fillId="5" borderId="7" xfId="1" applyFont="1" applyFill="1" applyBorder="1"/>
    <xf numFmtId="0" fontId="8" fillId="5" borderId="3" xfId="0" applyFont="1" applyFill="1" applyBorder="1"/>
    <xf numFmtId="0" fontId="8" fillId="5" borderId="8" xfId="0" applyFont="1" applyFill="1" applyBorder="1"/>
    <xf numFmtId="0" fontId="16" fillId="5" borderId="9" xfId="0" applyFont="1" applyFill="1" applyBorder="1" applyAlignment="1">
      <alignment horizontal="left"/>
    </xf>
    <xf numFmtId="0" fontId="16" fillId="5" borderId="10" xfId="0" applyFont="1" applyFill="1" applyBorder="1"/>
    <xf numFmtId="9" fontId="8" fillId="5" borderId="11" xfId="1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left"/>
    </xf>
    <xf numFmtId="0" fontId="16" fillId="5" borderId="12" xfId="0" applyFont="1" applyFill="1" applyBorder="1"/>
    <xf numFmtId="0" fontId="16" fillId="5" borderId="13" xfId="0" applyFont="1" applyFill="1" applyBorder="1" applyAlignment="1">
      <alignment horizontal="left"/>
    </xf>
    <xf numFmtId="0" fontId="16" fillId="5" borderId="14" xfId="0" applyFont="1" applyFill="1" applyBorder="1"/>
    <xf numFmtId="9" fontId="8" fillId="5" borderId="13" xfId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9" fontId="8" fillId="5" borderId="0" xfId="1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6" fillId="4" borderId="10" xfId="0" applyFont="1" applyFill="1" applyBorder="1"/>
    <xf numFmtId="9" fontId="8" fillId="5" borderId="9" xfId="1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16" fillId="5" borderId="16" xfId="0" applyFont="1" applyFill="1" applyBorder="1"/>
    <xf numFmtId="0" fontId="16" fillId="5" borderId="0" xfId="0" applyFont="1" applyFill="1" applyBorder="1"/>
    <xf numFmtId="0" fontId="8" fillId="5" borderId="0" xfId="0" applyFont="1" applyFill="1" applyBorder="1"/>
    <xf numFmtId="0" fontId="8" fillId="5" borderId="12" xfId="0" applyFont="1" applyFill="1" applyBorder="1"/>
    <xf numFmtId="0" fontId="16" fillId="5" borderId="15" xfId="0" applyFont="1" applyFill="1" applyBorder="1"/>
    <xf numFmtId="0" fontId="8" fillId="5" borderId="15" xfId="0" applyFont="1" applyFill="1" applyBorder="1"/>
    <xf numFmtId="0" fontId="8" fillId="5" borderId="14" xfId="0" applyFont="1" applyFill="1" applyBorder="1"/>
    <xf numFmtId="0" fontId="8" fillId="5" borderId="13" xfId="0" applyFont="1" applyFill="1" applyBorder="1"/>
    <xf numFmtId="9" fontId="8" fillId="5" borderId="7" xfId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9" fontId="8" fillId="5" borderId="0" xfId="1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right" vertical="center"/>
    </xf>
    <xf numFmtId="165" fontId="8" fillId="0" borderId="0" xfId="0" applyNumberFormat="1" applyFont="1" applyAlignment="1">
      <alignment horizont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0" fontId="10" fillId="0" borderId="0" xfId="0" applyFont="1"/>
    <xf numFmtId="3" fontId="9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2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/>
    <xf numFmtId="0" fontId="24" fillId="0" borderId="0" xfId="0" applyFont="1" applyBorder="1"/>
    <xf numFmtId="0" fontId="24" fillId="0" borderId="26" xfId="0" applyFont="1" applyBorder="1"/>
    <xf numFmtId="0" fontId="26" fillId="0" borderId="0" xfId="0" applyFont="1" applyBorder="1"/>
    <xf numFmtId="0" fontId="24" fillId="0" borderId="27" xfId="0" applyFont="1" applyBorder="1"/>
    <xf numFmtId="0" fontId="24" fillId="0" borderId="28" xfId="0" applyFont="1" applyBorder="1"/>
    <xf numFmtId="0" fontId="24" fillId="0" borderId="29" xfId="0" applyFont="1" applyBorder="1"/>
    <xf numFmtId="0" fontId="7" fillId="0" borderId="0" xfId="0" applyFont="1" applyAlignment="1">
      <alignment horizontal="right" vertical="center"/>
    </xf>
    <xf numFmtId="0" fontId="3" fillId="5" borderId="0" xfId="0" applyFont="1" applyFill="1" applyBorder="1" applyAlignment="1">
      <alignment horizontal="center" vertical="center"/>
    </xf>
    <xf numFmtId="3" fontId="3" fillId="5" borderId="0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24" fillId="0" borderId="25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0" fillId="0" borderId="0" xfId="0" applyFont="1" applyBorder="1"/>
    <xf numFmtId="3" fontId="26" fillId="0" borderId="0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8" fillId="0" borderId="0" xfId="0" applyFont="1" applyBorder="1"/>
    <xf numFmtId="0" fontId="22" fillId="0" borderId="0" xfId="0" applyFont="1" applyBorder="1" applyAlignment="1">
      <alignment horizontal="right"/>
    </xf>
    <xf numFmtId="0" fontId="32" fillId="0" borderId="0" xfId="0" applyFont="1" applyBorder="1" applyAlignment="1">
      <alignment horizontal="right"/>
    </xf>
    <xf numFmtId="0" fontId="33" fillId="0" borderId="0" xfId="0" applyFont="1" applyBorder="1"/>
    <xf numFmtId="0" fontId="31" fillId="0" borderId="0" xfId="0" applyFont="1" applyBorder="1"/>
    <xf numFmtId="168" fontId="33" fillId="0" borderId="0" xfId="0" applyNumberFormat="1" applyFont="1" applyBorder="1" applyAlignment="1">
      <alignment horizontal="center"/>
    </xf>
    <xf numFmtId="0" fontId="27" fillId="0" borderId="0" xfId="0" applyFont="1" applyBorder="1" applyAlignment="1">
      <alignment horizontal="right"/>
    </xf>
    <xf numFmtId="0" fontId="29" fillId="0" borderId="0" xfId="0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2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10" fontId="9" fillId="7" borderId="1" xfId="0" applyNumberFormat="1" applyFont="1" applyFill="1" applyBorder="1" applyAlignment="1">
      <alignment horizontal="center"/>
    </xf>
    <xf numFmtId="166" fontId="9" fillId="7" borderId="1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9" fontId="9" fillId="7" borderId="1" xfId="0" applyNumberFormat="1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4" fillId="0" borderId="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right" vertical="center"/>
    </xf>
    <xf numFmtId="0" fontId="23" fillId="0" borderId="0" xfId="0" applyFont="1" applyFill="1" applyAlignment="1">
      <alignment horizontal="right" vertical="center"/>
    </xf>
    <xf numFmtId="0" fontId="23" fillId="0" borderId="0" xfId="0" applyFont="1" applyFill="1" applyBorder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23" fillId="0" borderId="0" xfId="0" applyFont="1" applyAlignment="1">
      <alignment horizontal="right"/>
    </xf>
    <xf numFmtId="0" fontId="35" fillId="0" borderId="0" xfId="0" applyFont="1"/>
    <xf numFmtId="0" fontId="23" fillId="0" borderId="0" xfId="0" applyFont="1"/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Alignment="1"/>
    <xf numFmtId="0" fontId="20" fillId="0" borderId="0" xfId="0" applyFont="1" applyAlignment="1">
      <alignment horizontal="right" vertical="center"/>
    </xf>
    <xf numFmtId="0" fontId="16" fillId="0" borderId="0" xfId="0" applyFont="1"/>
    <xf numFmtId="0" fontId="36" fillId="0" borderId="0" xfId="0" applyFont="1" applyAlignment="1">
      <alignment horizontal="center"/>
    </xf>
    <xf numFmtId="0" fontId="29" fillId="0" borderId="0" xfId="0" applyFont="1" applyBorder="1"/>
    <xf numFmtId="0" fontId="36" fillId="0" borderId="0" xfId="0" applyFont="1"/>
    <xf numFmtId="0" fontId="37" fillId="0" borderId="0" xfId="0" applyFont="1"/>
    <xf numFmtId="0" fontId="36" fillId="0" borderId="22" xfId="0" applyFont="1" applyBorder="1"/>
    <xf numFmtId="0" fontId="36" fillId="0" borderId="24" xfId="0" applyFont="1" applyBorder="1"/>
    <xf numFmtId="0" fontId="36" fillId="0" borderId="25" xfId="0" applyFont="1" applyBorder="1"/>
    <xf numFmtId="0" fontId="36" fillId="0" borderId="26" xfId="0" applyFont="1" applyBorder="1"/>
    <xf numFmtId="0" fontId="36" fillId="0" borderId="27" xfId="0" applyFont="1" applyBorder="1"/>
    <xf numFmtId="0" fontId="36" fillId="0" borderId="24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7" fillId="0" borderId="4" xfId="0" applyFont="1" applyBorder="1"/>
    <xf numFmtId="0" fontId="36" fillId="0" borderId="5" xfId="0" applyFont="1" applyBorder="1"/>
    <xf numFmtId="0" fontId="36" fillId="0" borderId="6" xfId="0" applyFont="1" applyBorder="1"/>
    <xf numFmtId="0" fontId="38" fillId="0" borderId="25" xfId="0" applyFont="1" applyBorder="1"/>
    <xf numFmtId="9" fontId="36" fillId="0" borderId="1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6" fillId="0" borderId="18" xfId="0" applyFont="1" applyBorder="1"/>
    <xf numFmtId="9" fontId="36" fillId="0" borderId="33" xfId="0" applyNumberFormat="1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36" fillId="0" borderId="34" xfId="0" applyFont="1" applyBorder="1" applyAlignment="1">
      <alignment horizontal="center"/>
    </xf>
    <xf numFmtId="0" fontId="36" fillId="0" borderId="35" xfId="0" applyFont="1" applyBorder="1"/>
    <xf numFmtId="0" fontId="36" fillId="0" borderId="36" xfId="0" applyFont="1" applyBorder="1" applyAlignment="1">
      <alignment horizontal="center"/>
    </xf>
    <xf numFmtId="0" fontId="36" fillId="0" borderId="37" xfId="0" applyFont="1" applyBorder="1"/>
    <xf numFmtId="9" fontId="36" fillId="0" borderId="38" xfId="0" applyNumberFormat="1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8" borderId="33" xfId="0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/>
    </xf>
    <xf numFmtId="0" fontId="36" fillId="8" borderId="38" xfId="0" applyFont="1" applyFill="1" applyBorder="1" applyAlignment="1">
      <alignment horizontal="center"/>
    </xf>
    <xf numFmtId="0" fontId="39" fillId="0" borderId="0" xfId="0" applyFont="1" applyAlignment="1">
      <alignment horizontal="center"/>
    </xf>
    <xf numFmtId="0" fontId="36" fillId="5" borderId="30" xfId="0" applyFont="1" applyFill="1" applyBorder="1" applyAlignment="1">
      <alignment horizontal="center"/>
    </xf>
    <xf numFmtId="0" fontId="36" fillId="5" borderId="31" xfId="0" applyFont="1" applyFill="1" applyBorder="1" applyAlignment="1">
      <alignment horizontal="center"/>
    </xf>
    <xf numFmtId="0" fontId="26" fillId="0" borderId="10" xfId="0" applyFont="1" applyBorder="1"/>
    <xf numFmtId="0" fontId="26" fillId="0" borderId="13" xfId="0" applyFont="1" applyBorder="1"/>
    <xf numFmtId="0" fontId="26" fillId="0" borderId="15" xfId="0" applyFont="1" applyBorder="1"/>
    <xf numFmtId="0" fontId="26" fillId="0" borderId="14" xfId="0" applyFont="1" applyBorder="1"/>
    <xf numFmtId="0" fontId="26" fillId="0" borderId="0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40" fillId="0" borderId="0" xfId="0" applyFont="1" applyBorder="1"/>
    <xf numFmtId="0" fontId="24" fillId="0" borderId="22" xfId="0" applyFont="1" applyBorder="1"/>
    <xf numFmtId="0" fontId="24" fillId="0" borderId="23" xfId="0" applyFont="1" applyBorder="1"/>
    <xf numFmtId="0" fontId="24" fillId="0" borderId="24" xfId="0" applyFont="1" applyBorder="1"/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27" fillId="0" borderId="25" xfId="0" applyFont="1" applyBorder="1" applyAlignment="1">
      <alignment horizontal="right"/>
    </xf>
    <xf numFmtId="0" fontId="8" fillId="0" borderId="26" xfId="0" applyFont="1" applyBorder="1"/>
    <xf numFmtId="0" fontId="31" fillId="0" borderId="26" xfId="0" applyFont="1" applyBorder="1"/>
    <xf numFmtId="10" fontId="21" fillId="0" borderId="0" xfId="0" applyNumberFormat="1" applyFont="1" applyAlignment="1">
      <alignment horizontal="center" vertical="center"/>
    </xf>
    <xf numFmtId="14" fontId="36" fillId="0" borderId="0" xfId="0" applyNumberFormat="1" applyFont="1"/>
    <xf numFmtId="3" fontId="36" fillId="0" borderId="0" xfId="0" applyNumberFormat="1" applyFont="1"/>
    <xf numFmtId="3" fontId="36" fillId="0" borderId="0" xfId="0" applyNumberFormat="1" applyFont="1" applyAlignment="1">
      <alignment horizontal="center"/>
    </xf>
    <xf numFmtId="0" fontId="41" fillId="0" borderId="0" xfId="0" applyFont="1" applyBorder="1" applyAlignment="1">
      <alignment horizontal="right"/>
    </xf>
    <xf numFmtId="0" fontId="9" fillId="5" borderId="1" xfId="0" applyFont="1" applyFill="1" applyBorder="1" applyAlignment="1">
      <alignment horizontal="center"/>
    </xf>
    <xf numFmtId="0" fontId="26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Border="1" applyAlignment="1">
      <alignment vertical="center"/>
    </xf>
    <xf numFmtId="0" fontId="26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0" fontId="42" fillId="0" borderId="23" xfId="0" applyFont="1" applyBorder="1" applyAlignment="1">
      <alignment horizontal="left" vertical="center"/>
    </xf>
    <xf numFmtId="0" fontId="26" fillId="0" borderId="0" xfId="0" applyFont="1" applyAlignment="1">
      <alignment horizontal="center"/>
    </xf>
    <xf numFmtId="3" fontId="26" fillId="0" borderId="1" xfId="0" applyNumberFormat="1" applyFont="1" applyBorder="1" applyAlignment="1">
      <alignment horizontal="center"/>
    </xf>
    <xf numFmtId="10" fontId="26" fillId="0" borderId="1" xfId="0" applyNumberFormat="1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7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1" xfId="0" applyFont="1" applyBorder="1"/>
    <xf numFmtId="0" fontId="26" fillId="0" borderId="0" xfId="0" applyFont="1" applyAlignment="1">
      <alignment horizontal="right"/>
    </xf>
    <xf numFmtId="10" fontId="26" fillId="0" borderId="0" xfId="0" applyNumberFormat="1" applyFont="1" applyBorder="1" applyAlignment="1">
      <alignment horizontal="center"/>
    </xf>
    <xf numFmtId="0" fontId="26" fillId="0" borderId="0" xfId="0" applyFont="1" applyAlignment="1">
      <alignment vertical="top"/>
    </xf>
    <xf numFmtId="0" fontId="26" fillId="0" borderId="9" xfId="0" applyFont="1" applyBorder="1" applyAlignment="1">
      <alignment horizontal="left"/>
    </xf>
    <xf numFmtId="3" fontId="26" fillId="0" borderId="16" xfId="0" applyNumberFormat="1" applyFont="1" applyBorder="1" applyAlignment="1">
      <alignment horizontal="center"/>
    </xf>
    <xf numFmtId="10" fontId="26" fillId="0" borderId="16" xfId="0" applyNumberFormat="1" applyFont="1" applyBorder="1" applyAlignment="1">
      <alignment horizontal="center"/>
    </xf>
    <xf numFmtId="0" fontId="41" fillId="0" borderId="0" xfId="0" applyFont="1" applyBorder="1" applyAlignment="1">
      <alignment horizontal="left" vertical="center"/>
    </xf>
    <xf numFmtId="0" fontId="41" fillId="0" borderId="0" xfId="0" applyFont="1" applyBorder="1"/>
    <xf numFmtId="0" fontId="41" fillId="0" borderId="0" xfId="0" applyFont="1" applyAlignment="1">
      <alignment horizontal="right"/>
    </xf>
    <xf numFmtId="0" fontId="41" fillId="0" borderId="0" xfId="0" applyFont="1"/>
    <xf numFmtId="0" fontId="26" fillId="0" borderId="0" xfId="0" applyFont="1" applyBorder="1" applyAlignment="1">
      <alignment horizontal="center"/>
    </xf>
    <xf numFmtId="0" fontId="26" fillId="0" borderId="0" xfId="0" applyFont="1" applyAlignment="1">
      <alignment horizontal="center"/>
    </xf>
    <xf numFmtId="3" fontId="5" fillId="5" borderId="0" xfId="0" applyNumberFormat="1" applyFont="1" applyFill="1" applyBorder="1" applyAlignment="1">
      <alignment horizontal="center" vertical="center"/>
    </xf>
    <xf numFmtId="3" fontId="5" fillId="5" borderId="3" xfId="0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3" fontId="7" fillId="5" borderId="0" xfId="0" applyNumberFormat="1" applyFont="1" applyFill="1" applyBorder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2" fontId="5" fillId="5" borderId="0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165" fontId="5" fillId="5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right" vertical="center"/>
    </xf>
    <xf numFmtId="3" fontId="43" fillId="5" borderId="0" xfId="0" applyNumberFormat="1" applyFont="1" applyFill="1" applyBorder="1" applyAlignment="1">
      <alignment horizontal="center" vertical="center"/>
    </xf>
    <xf numFmtId="3" fontId="11" fillId="5" borderId="0" xfId="0" applyNumberFormat="1" applyFont="1" applyFill="1" applyAlignment="1">
      <alignment horizontal="center"/>
    </xf>
    <xf numFmtId="2" fontId="26" fillId="0" borderId="0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0" fontId="42" fillId="0" borderId="0" xfId="0" applyFont="1" applyBorder="1" applyAlignment="1">
      <alignment horizontal="left" vertical="center"/>
    </xf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3" fillId="3" borderId="27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45" fillId="0" borderId="4" xfId="0" applyFont="1" applyBorder="1" applyAlignment="1">
      <alignment horizontal="center"/>
    </xf>
    <xf numFmtId="0" fontId="45" fillId="0" borderId="5" xfId="0" applyFont="1" applyBorder="1" applyAlignment="1">
      <alignment horizontal="center"/>
    </xf>
    <xf numFmtId="0" fontId="45" fillId="0" borderId="6" xfId="0" applyFont="1" applyBorder="1" applyAlignment="1">
      <alignment horizontal="center"/>
    </xf>
    <xf numFmtId="9" fontId="44" fillId="0" borderId="0" xfId="0" applyNumberFormat="1" applyFont="1"/>
    <xf numFmtId="9" fontId="9" fillId="0" borderId="0" xfId="0" applyNumberFormat="1" applyFont="1" applyAlignment="1">
      <alignment horizontal="center"/>
    </xf>
    <xf numFmtId="0" fontId="36" fillId="0" borderId="0" xfId="0" applyFont="1" applyBorder="1"/>
    <xf numFmtId="0" fontId="16" fillId="5" borderId="0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wrapText="1"/>
    </xf>
    <xf numFmtId="0" fontId="16" fillId="5" borderId="0" xfId="0" applyFont="1" applyFill="1" applyBorder="1" applyAlignment="1">
      <alignment horizontal="right"/>
    </xf>
    <xf numFmtId="0" fontId="16" fillId="5" borderId="0" xfId="0" applyFont="1" applyFill="1" applyBorder="1" applyAlignment="1">
      <alignment horizontal="center"/>
    </xf>
    <xf numFmtId="9" fontId="36" fillId="5" borderId="0" xfId="1" applyFont="1" applyFill="1" applyBorder="1" applyAlignment="1">
      <alignment horizontal="center" vertical="center"/>
    </xf>
    <xf numFmtId="9" fontId="46" fillId="5" borderId="0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41" fillId="0" borderId="4" xfId="0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14" fontId="41" fillId="0" borderId="5" xfId="0" applyNumberFormat="1" applyFont="1" applyBorder="1" applyAlignment="1">
      <alignment horizontal="center"/>
    </xf>
    <xf numFmtId="0" fontId="41" fillId="0" borderId="6" xfId="0" applyFont="1" applyBorder="1" applyAlignment="1">
      <alignment horizontal="center"/>
    </xf>
    <xf numFmtId="3" fontId="8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45" fillId="0" borderId="21" xfId="0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/>
    </xf>
    <xf numFmtId="9" fontId="36" fillId="0" borderId="0" xfId="0" applyNumberFormat="1" applyFont="1" applyAlignment="1">
      <alignment horizontal="center"/>
    </xf>
    <xf numFmtId="3" fontId="36" fillId="0" borderId="30" xfId="0" applyNumberFormat="1" applyFont="1" applyBorder="1" applyAlignment="1">
      <alignment horizontal="center"/>
    </xf>
    <xf numFmtId="3" fontId="36" fillId="0" borderId="31" xfId="0" applyNumberFormat="1" applyFont="1" applyBorder="1" applyAlignment="1">
      <alignment horizontal="center"/>
    </xf>
    <xf numFmtId="3" fontId="36" fillId="0" borderId="32" xfId="0" applyNumberFormat="1" applyFont="1" applyBorder="1" applyAlignment="1">
      <alignment horizontal="center"/>
    </xf>
    <xf numFmtId="0" fontId="4" fillId="0" borderId="0" xfId="0" applyFont="1" applyBorder="1"/>
    <xf numFmtId="0" fontId="24" fillId="0" borderId="0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47" fillId="0" borderId="0" xfId="0" applyFont="1" applyFill="1" applyBorder="1" applyAlignment="1">
      <alignment horizontal="right" vertical="center"/>
    </xf>
    <xf numFmtId="0" fontId="47" fillId="0" borderId="0" xfId="0" applyFont="1" applyFill="1" applyBorder="1" applyAlignment="1">
      <alignment horizontal="left" vertical="center"/>
    </xf>
    <xf numFmtId="0" fontId="34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3" fontId="26" fillId="0" borderId="0" xfId="0" applyNumberFormat="1" applyFont="1" applyAlignment="1">
      <alignment horizontal="center"/>
    </xf>
    <xf numFmtId="9" fontId="26" fillId="0" borderId="0" xfId="0" applyNumberFormat="1" applyFont="1" applyAlignment="1">
      <alignment horizontal="center"/>
    </xf>
    <xf numFmtId="10" fontId="2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48" fillId="0" borderId="0" xfId="0" applyFont="1" applyAlignment="1">
      <alignment horizontal="right"/>
    </xf>
    <xf numFmtId="3" fontId="5" fillId="5" borderId="31" xfId="0" applyNumberFormat="1" applyFont="1" applyFill="1" applyBorder="1" applyAlignment="1">
      <alignment horizontal="center" vertical="center"/>
    </xf>
    <xf numFmtId="0" fontId="49" fillId="9" borderId="0" xfId="3" applyFill="1"/>
    <xf numFmtId="0" fontId="13" fillId="5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51" fillId="5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55" fillId="0" borderId="9" xfId="0" applyFont="1" applyBorder="1" applyAlignment="1">
      <alignment vertical="top"/>
    </xf>
    <xf numFmtId="0" fontId="55" fillId="0" borderId="16" xfId="0" applyFont="1" applyBorder="1" applyAlignment="1">
      <alignment vertical="top"/>
    </xf>
    <xf numFmtId="0" fontId="55" fillId="0" borderId="10" xfId="0" applyFont="1" applyBorder="1" applyAlignment="1">
      <alignment vertical="top"/>
    </xf>
    <xf numFmtId="0" fontId="55" fillId="0" borderId="11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55" fillId="0" borderId="12" xfId="0" applyFont="1" applyBorder="1" applyAlignment="1">
      <alignment vertical="top"/>
    </xf>
    <xf numFmtId="0" fontId="55" fillId="0" borderId="9" xfId="0" applyFont="1" applyBorder="1"/>
    <xf numFmtId="0" fontId="55" fillId="0" borderId="16" xfId="0" applyFont="1" applyBorder="1"/>
    <xf numFmtId="0" fontId="55" fillId="0" borderId="10" xfId="0" applyFont="1" applyBorder="1"/>
    <xf numFmtId="0" fontId="55" fillId="0" borderId="11" xfId="0" applyFont="1" applyBorder="1"/>
    <xf numFmtId="0" fontId="55" fillId="0" borderId="0" xfId="0" applyFont="1" applyBorder="1"/>
    <xf numFmtId="0" fontId="55" fillId="0" borderId="12" xfId="0" applyFont="1" applyBorder="1"/>
    <xf numFmtId="0" fontId="55" fillId="0" borderId="13" xfId="0" applyFont="1" applyBorder="1"/>
    <xf numFmtId="0" fontId="55" fillId="0" borderId="15" xfId="0" applyFont="1" applyBorder="1"/>
    <xf numFmtId="0" fontId="55" fillId="0" borderId="14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16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3" fontId="2" fillId="10" borderId="17" xfId="0" applyNumberFormat="1" applyFont="1" applyFill="1" applyBorder="1" applyAlignment="1">
      <alignment horizontal="center"/>
    </xf>
    <xf numFmtId="3" fontId="2" fillId="10" borderId="40" xfId="0" applyNumberFormat="1" applyFont="1" applyFill="1" applyBorder="1" applyAlignment="1">
      <alignment horizontal="center"/>
    </xf>
    <xf numFmtId="3" fontId="2" fillId="10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26" xfId="0" applyFont="1" applyBorder="1" applyAlignment="1">
      <alignment horizontal="center"/>
    </xf>
    <xf numFmtId="168" fontId="33" fillId="0" borderId="26" xfId="0" applyNumberFormat="1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57" fillId="0" borderId="0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9" fillId="6" borderId="0" xfId="0" applyFont="1" applyFill="1" applyBorder="1"/>
    <xf numFmtId="0" fontId="59" fillId="0" borderId="0" xfId="0" applyFont="1" applyBorder="1" applyAlignment="1">
      <alignment horizontal="left"/>
    </xf>
    <xf numFmtId="0" fontId="26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41" fillId="6" borderId="0" xfId="0" applyFont="1" applyFill="1" applyBorder="1" applyAlignment="1">
      <alignment horizontal="center"/>
    </xf>
    <xf numFmtId="0" fontId="0" fillId="0" borderId="0" xfId="0" applyBorder="1"/>
    <xf numFmtId="0" fontId="26" fillId="0" borderId="9" xfId="0" applyFont="1" applyBorder="1"/>
    <xf numFmtId="0" fontId="26" fillId="0" borderId="16" xfId="0" applyFont="1" applyBorder="1"/>
    <xf numFmtId="0" fontId="26" fillId="0" borderId="10" xfId="0" applyFont="1" applyBorder="1" applyAlignment="1">
      <alignment horizontal="center"/>
    </xf>
    <xf numFmtId="3" fontId="26" fillId="0" borderId="14" xfId="0" applyNumberFormat="1" applyFont="1" applyBorder="1" applyAlignment="1">
      <alignment horizontal="center"/>
    </xf>
    <xf numFmtId="0" fontId="24" fillId="0" borderId="1" xfId="0" applyFont="1" applyBorder="1"/>
    <xf numFmtId="166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166" fontId="9" fillId="5" borderId="1" xfId="0" applyNumberFormat="1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left" vertical="center"/>
    </xf>
    <xf numFmtId="0" fontId="9" fillId="5" borderId="0" xfId="0" applyFont="1" applyFill="1"/>
    <xf numFmtId="0" fontId="20" fillId="5" borderId="0" xfId="0" applyFont="1" applyFill="1" applyBorder="1" applyAlignment="1">
      <alignment horizontal="center"/>
    </xf>
    <xf numFmtId="167" fontId="8" fillId="5" borderId="0" xfId="2" applyNumberFormat="1" applyFont="1" applyFill="1" applyBorder="1" applyAlignment="1">
      <alignment horizontal="center"/>
    </xf>
    <xf numFmtId="0" fontId="5" fillId="5" borderId="0" xfId="0" applyFont="1" applyFill="1" applyBorder="1" applyAlignment="1">
      <alignment horizontal="right" vertical="center"/>
    </xf>
    <xf numFmtId="0" fontId="9" fillId="5" borderId="0" xfId="0" applyFont="1" applyFill="1" applyBorder="1"/>
    <xf numFmtId="0" fontId="9" fillId="5" borderId="0" xfId="0" applyFont="1" applyFill="1" applyBorder="1" applyAlignment="1">
      <alignment horizontal="center"/>
    </xf>
    <xf numFmtId="167" fontId="21" fillId="5" borderId="0" xfId="0" applyNumberFormat="1" applyFont="1" applyFill="1" applyBorder="1" applyAlignment="1">
      <alignment horizontal="center" vertical="center"/>
    </xf>
    <xf numFmtId="167" fontId="17" fillId="5" borderId="0" xfId="0" applyNumberFormat="1" applyFont="1" applyFill="1" applyBorder="1" applyAlignment="1">
      <alignment horizontal="center"/>
    </xf>
    <xf numFmtId="167" fontId="22" fillId="5" borderId="0" xfId="2" applyNumberFormat="1" applyFont="1" applyFill="1" applyBorder="1" applyAlignment="1">
      <alignment horizontal="center"/>
    </xf>
    <xf numFmtId="2" fontId="44" fillId="5" borderId="0" xfId="2" applyNumberFormat="1" applyFont="1" applyFill="1" applyBorder="1" applyAlignment="1">
      <alignment horizontal="center"/>
    </xf>
    <xf numFmtId="2" fontId="43" fillId="5" borderId="0" xfId="0" applyNumberFormat="1" applyFont="1" applyFill="1" applyAlignment="1">
      <alignment horizontal="center" vertical="center"/>
    </xf>
    <xf numFmtId="0" fontId="44" fillId="5" borderId="0" xfId="0" applyFont="1" applyFill="1" applyAlignment="1">
      <alignment horizontal="center"/>
    </xf>
    <xf numFmtId="9" fontId="10" fillId="11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9" fontId="5" fillId="5" borderId="0" xfId="0" applyNumberFormat="1" applyFont="1" applyFill="1" applyBorder="1" applyAlignment="1">
      <alignment horizontal="center" vertical="center"/>
    </xf>
    <xf numFmtId="3" fontId="5" fillId="5" borderId="22" xfId="0" applyNumberFormat="1" applyFont="1" applyFill="1" applyBorder="1" applyAlignment="1">
      <alignment horizontal="center" vertical="center"/>
    </xf>
    <xf numFmtId="3" fontId="44" fillId="5" borderId="30" xfId="0" applyNumberFormat="1" applyFont="1" applyFill="1" applyBorder="1" applyAlignment="1">
      <alignment horizontal="center"/>
    </xf>
    <xf numFmtId="3" fontId="5" fillId="5" borderId="25" xfId="0" applyNumberFormat="1" applyFont="1" applyFill="1" applyBorder="1" applyAlignment="1">
      <alignment horizontal="center" vertical="center"/>
    </xf>
    <xf numFmtId="3" fontId="44" fillId="5" borderId="31" xfId="0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right" vertical="center"/>
    </xf>
    <xf numFmtId="3" fontId="5" fillId="5" borderId="20" xfId="0" applyNumberFormat="1" applyFont="1" applyFill="1" applyBorder="1" applyAlignment="1">
      <alignment horizontal="center" vertical="center"/>
    </xf>
    <xf numFmtId="9" fontId="11" fillId="5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3" fontId="44" fillId="5" borderId="0" xfId="0" applyNumberFormat="1" applyFont="1" applyFill="1" applyAlignment="1">
      <alignment horizontal="center"/>
    </xf>
    <xf numFmtId="3" fontId="5" fillId="5" borderId="30" xfId="0" applyNumberFormat="1" applyFont="1" applyFill="1" applyBorder="1" applyAlignment="1">
      <alignment horizontal="center" vertical="center"/>
    </xf>
    <xf numFmtId="3" fontId="6" fillId="5" borderId="20" xfId="0" applyNumberFormat="1" applyFont="1" applyFill="1" applyBorder="1" applyAlignment="1">
      <alignment horizontal="center" vertical="center"/>
    </xf>
    <xf numFmtId="3" fontId="21" fillId="5" borderId="0" xfId="0" applyNumberFormat="1" applyFont="1" applyFill="1" applyBorder="1" applyAlignment="1">
      <alignment horizontal="center" vertical="center"/>
    </xf>
    <xf numFmtId="9" fontId="10" fillId="5" borderId="0" xfId="0" applyNumberFormat="1" applyFont="1" applyFill="1" applyAlignment="1">
      <alignment horizontal="center"/>
    </xf>
    <xf numFmtId="3" fontId="6" fillId="5" borderId="0" xfId="0" applyNumberFormat="1" applyFont="1" applyFill="1" applyBorder="1" applyAlignment="1">
      <alignment horizontal="center" vertical="center"/>
    </xf>
    <xf numFmtId="3" fontId="9" fillId="5" borderId="0" xfId="0" applyNumberFormat="1" applyFont="1" applyFill="1" applyAlignment="1">
      <alignment horizontal="center"/>
    </xf>
    <xf numFmtId="166" fontId="7" fillId="5" borderId="0" xfId="0" applyNumberFormat="1" applyFont="1" applyFill="1" applyBorder="1" applyAlignment="1">
      <alignment horizontal="center" vertical="center"/>
    </xf>
    <xf numFmtId="1" fontId="21" fillId="5" borderId="0" xfId="0" applyNumberFormat="1" applyFont="1" applyFill="1" applyBorder="1" applyAlignment="1">
      <alignment horizontal="center" vertical="center"/>
    </xf>
    <xf numFmtId="166" fontId="10" fillId="5" borderId="0" xfId="0" applyNumberFormat="1" applyFont="1" applyFill="1" applyAlignment="1">
      <alignment horizontal="center"/>
    </xf>
    <xf numFmtId="9" fontId="6" fillId="5" borderId="0" xfId="0" applyNumberFormat="1" applyFont="1" applyFill="1" applyBorder="1" applyAlignment="1">
      <alignment horizontal="center" vertical="center"/>
    </xf>
    <xf numFmtId="0" fontId="52" fillId="5" borderId="0" xfId="0" applyFont="1" applyFill="1" applyBorder="1" applyAlignment="1">
      <alignment horizontal="right" vertical="center"/>
    </xf>
    <xf numFmtId="9" fontId="11" fillId="5" borderId="0" xfId="0" applyNumberFormat="1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3" fontId="44" fillId="5" borderId="0" xfId="0" applyNumberFormat="1" applyFont="1" applyFill="1" applyBorder="1" applyAlignment="1">
      <alignment horizontal="center"/>
    </xf>
    <xf numFmtId="10" fontId="21" fillId="5" borderId="0" xfId="0" applyNumberFormat="1" applyFont="1" applyFill="1" applyAlignment="1">
      <alignment horizontal="center" vertical="center"/>
    </xf>
    <xf numFmtId="3" fontId="11" fillId="5" borderId="0" xfId="0" applyNumberFormat="1" applyFont="1" applyFill="1" applyBorder="1" applyAlignment="1">
      <alignment horizontal="center"/>
    </xf>
    <xf numFmtId="166" fontId="23" fillId="5" borderId="0" xfId="0" applyNumberFormat="1" applyFont="1" applyFill="1" applyBorder="1" applyAlignment="1">
      <alignment horizontal="center" vertical="center"/>
    </xf>
    <xf numFmtId="3" fontId="19" fillId="5" borderId="0" xfId="0" applyNumberFormat="1" applyFont="1" applyFill="1" applyBorder="1" applyAlignment="1">
      <alignment horizontal="center" vertical="center"/>
    </xf>
    <xf numFmtId="0" fontId="11" fillId="5" borderId="0" xfId="0" applyFont="1" applyFill="1"/>
    <xf numFmtId="166" fontId="8" fillId="5" borderId="0" xfId="0" applyNumberFormat="1" applyFont="1" applyFill="1" applyBorder="1" applyAlignment="1">
      <alignment horizontal="center"/>
    </xf>
    <xf numFmtId="0" fontId="7" fillId="5" borderId="0" xfId="0" applyFont="1" applyFill="1" applyAlignment="1">
      <alignment horizontal="right"/>
    </xf>
    <xf numFmtId="3" fontId="23" fillId="5" borderId="0" xfId="0" applyNumberFormat="1" applyFont="1" applyFill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3" fontId="16" fillId="5" borderId="0" xfId="0" applyNumberFormat="1" applyFont="1" applyFill="1" applyAlignment="1">
      <alignment horizontal="center"/>
    </xf>
    <xf numFmtId="10" fontId="23" fillId="5" borderId="0" xfId="0" applyNumberFormat="1" applyFont="1" applyFill="1" applyAlignment="1">
      <alignment horizontal="center" vertical="center"/>
    </xf>
    <xf numFmtId="0" fontId="7" fillId="5" borderId="0" xfId="0" applyFont="1" applyFill="1"/>
    <xf numFmtId="9" fontId="13" fillId="5" borderId="0" xfId="0" applyNumberFormat="1" applyFont="1" applyFill="1" applyAlignment="1">
      <alignment horizontal="center"/>
    </xf>
    <xf numFmtId="0" fontId="8" fillId="5" borderId="31" xfId="0" applyFont="1" applyFill="1" applyBorder="1"/>
    <xf numFmtId="0" fontId="13" fillId="5" borderId="0" xfId="0" applyFont="1" applyFill="1" applyAlignment="1">
      <alignment horizontal="right"/>
    </xf>
    <xf numFmtId="0" fontId="14" fillId="5" borderId="0" xfId="0" applyFont="1" applyFill="1"/>
    <xf numFmtId="3" fontId="13" fillId="5" borderId="0" xfId="0" applyNumberFormat="1" applyFont="1" applyFill="1" applyBorder="1" applyAlignment="1">
      <alignment horizontal="center"/>
    </xf>
    <xf numFmtId="0" fontId="7" fillId="5" borderId="0" xfId="0" applyFont="1" applyFill="1" applyAlignment="1">
      <alignment horizontal="left"/>
    </xf>
    <xf numFmtId="3" fontId="9" fillId="5" borderId="0" xfId="0" applyNumberFormat="1" applyFont="1" applyFill="1"/>
    <xf numFmtId="0" fontId="13" fillId="5" borderId="0" xfId="0" applyFont="1" applyFill="1" applyAlignment="1">
      <alignment horizontal="right" vertical="center"/>
    </xf>
    <xf numFmtId="1" fontId="13" fillId="5" borderId="0" xfId="0" applyNumberFormat="1" applyFont="1" applyFill="1" applyAlignment="1">
      <alignment horizontal="center"/>
    </xf>
    <xf numFmtId="9" fontId="44" fillId="5" borderId="0" xfId="0" applyNumberFormat="1" applyFont="1" applyFill="1"/>
    <xf numFmtId="0" fontId="50" fillId="5" borderId="31" xfId="0" applyFont="1" applyFill="1" applyBorder="1"/>
    <xf numFmtId="0" fontId="14" fillId="5" borderId="3" xfId="0" applyFont="1" applyFill="1" applyBorder="1"/>
    <xf numFmtId="0" fontId="10" fillId="5" borderId="0" xfId="0" applyFont="1" applyFill="1"/>
    <xf numFmtId="166" fontId="8" fillId="5" borderId="0" xfId="0" applyNumberFormat="1" applyFont="1" applyFill="1"/>
    <xf numFmtId="166" fontId="8" fillId="5" borderId="0" xfId="0" applyNumberFormat="1" applyFont="1" applyFill="1" applyAlignment="1">
      <alignment horizontal="center"/>
    </xf>
    <xf numFmtId="166" fontId="9" fillId="5" borderId="0" xfId="0" applyNumberFormat="1" applyFont="1" applyFill="1"/>
    <xf numFmtId="166" fontId="9" fillId="5" borderId="0" xfId="0" applyNumberFormat="1" applyFont="1" applyFill="1" applyAlignment="1">
      <alignment horizontal="center"/>
    </xf>
    <xf numFmtId="3" fontId="8" fillId="5" borderId="0" xfId="0" applyNumberFormat="1" applyFont="1" applyFill="1" applyAlignment="1">
      <alignment horizontal="center"/>
    </xf>
    <xf numFmtId="3" fontId="8" fillId="5" borderId="0" xfId="0" applyNumberFormat="1" applyFont="1" applyFill="1"/>
    <xf numFmtId="0" fontId="60" fillId="5" borderId="0" xfId="0" applyFont="1" applyFill="1" applyAlignment="1">
      <alignment horizontal="left" vertical="center"/>
    </xf>
    <xf numFmtId="0" fontId="60" fillId="5" borderId="0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right" vertical="center"/>
    </xf>
    <xf numFmtId="3" fontId="3" fillId="5" borderId="3" xfId="0" applyNumberFormat="1" applyFont="1" applyFill="1" applyBorder="1" applyAlignment="1">
      <alignment horizontal="center" vertical="center"/>
    </xf>
    <xf numFmtId="9" fontId="6" fillId="5" borderId="42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right"/>
    </xf>
    <xf numFmtId="0" fontId="7" fillId="5" borderId="13" xfId="0" applyFont="1" applyFill="1" applyBorder="1" applyAlignment="1">
      <alignment horizontal="right" vertical="center"/>
    </xf>
    <xf numFmtId="0" fontId="3" fillId="5" borderId="8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right" vertical="center"/>
    </xf>
    <xf numFmtId="0" fontId="7" fillId="12" borderId="3" xfId="0" applyFont="1" applyFill="1" applyBorder="1" applyAlignment="1">
      <alignment horizontal="center" vertical="center"/>
    </xf>
    <xf numFmtId="9" fontId="61" fillId="12" borderId="3" xfId="0" applyNumberFormat="1" applyFont="1" applyFill="1" applyBorder="1" applyAlignment="1">
      <alignment horizontal="center"/>
    </xf>
    <xf numFmtId="0" fontId="61" fillId="12" borderId="3" xfId="0" applyFont="1" applyFill="1" applyBorder="1" applyAlignment="1">
      <alignment horizontal="center"/>
    </xf>
    <xf numFmtId="0" fontId="23" fillId="12" borderId="7" xfId="0" applyFont="1" applyFill="1" applyBorder="1" applyAlignment="1">
      <alignment horizontal="right" vertical="center"/>
    </xf>
    <xf numFmtId="3" fontId="23" fillId="12" borderId="3" xfId="0" applyNumberFormat="1" applyFont="1" applyFill="1" applyBorder="1" applyAlignment="1">
      <alignment horizontal="center" vertical="center"/>
    </xf>
    <xf numFmtId="0" fontId="23" fillId="12" borderId="3" xfId="0" applyFont="1" applyFill="1" applyBorder="1" applyAlignment="1">
      <alignment horizontal="center" vertical="center"/>
    </xf>
    <xf numFmtId="9" fontId="16" fillId="12" borderId="3" xfId="0" applyNumberFormat="1" applyFont="1" applyFill="1" applyBorder="1" applyAlignment="1">
      <alignment horizontal="center"/>
    </xf>
    <xf numFmtId="0" fontId="16" fillId="12" borderId="3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right" vertical="center"/>
    </xf>
    <xf numFmtId="3" fontId="5" fillId="5" borderId="16" xfId="0" applyNumberFormat="1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right" vertical="center"/>
    </xf>
    <xf numFmtId="9" fontId="3" fillId="5" borderId="8" xfId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right" vertical="top"/>
    </xf>
    <xf numFmtId="166" fontId="7" fillId="5" borderId="2" xfId="0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3" fontId="6" fillId="5" borderId="43" xfId="0" applyNumberFormat="1" applyFont="1" applyFill="1" applyBorder="1" applyAlignment="1">
      <alignment horizontal="center" vertical="center"/>
    </xf>
    <xf numFmtId="3" fontId="5" fillId="5" borderId="8" xfId="0" applyNumberFormat="1" applyFont="1" applyFill="1" applyBorder="1" applyAlignment="1">
      <alignment horizontal="center" vertical="center"/>
    </xf>
    <xf numFmtId="3" fontId="43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3" fontId="23" fillId="6" borderId="3" xfId="0" applyNumberFormat="1" applyFont="1" applyFill="1" applyBorder="1" applyAlignment="1">
      <alignment horizontal="center" vertical="center"/>
    </xf>
    <xf numFmtId="168" fontId="7" fillId="12" borderId="3" xfId="0" applyNumberFormat="1" applyFont="1" applyFill="1" applyBorder="1" applyAlignment="1">
      <alignment horizontal="center" vertical="center"/>
    </xf>
    <xf numFmtId="168" fontId="10" fillId="12" borderId="3" xfId="0" applyNumberFormat="1" applyFont="1" applyFill="1" applyBorder="1" applyAlignment="1">
      <alignment horizontal="center"/>
    </xf>
    <xf numFmtId="168" fontId="16" fillId="12" borderId="8" xfId="0" applyNumberFormat="1" applyFont="1" applyFill="1" applyBorder="1" applyAlignment="1">
      <alignment horizontal="center"/>
    </xf>
    <xf numFmtId="168" fontId="16" fillId="12" borderId="3" xfId="0" applyNumberFormat="1" applyFont="1" applyFill="1" applyBorder="1" applyAlignment="1">
      <alignment horizontal="center"/>
    </xf>
    <xf numFmtId="168" fontId="23" fillId="12" borderId="3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166" fontId="34" fillId="5" borderId="1" xfId="0" applyNumberFormat="1" applyFont="1" applyFill="1" applyBorder="1" applyAlignment="1">
      <alignment horizontal="center" vertical="center"/>
    </xf>
    <xf numFmtId="3" fontId="34" fillId="5" borderId="1" xfId="0" applyNumberFormat="1" applyFont="1" applyFill="1" applyBorder="1" applyAlignment="1">
      <alignment horizontal="center" vertical="center"/>
    </xf>
    <xf numFmtId="3" fontId="20" fillId="5" borderId="1" xfId="0" applyNumberFormat="1" applyFont="1" applyFill="1" applyBorder="1" applyAlignment="1">
      <alignment horizontal="center"/>
    </xf>
    <xf numFmtId="169" fontId="26" fillId="0" borderId="1" xfId="0" applyNumberFormat="1" applyFont="1" applyBorder="1" applyAlignment="1">
      <alignment horizontal="center"/>
    </xf>
    <xf numFmtId="0" fontId="8" fillId="5" borderId="43" xfId="0" applyFont="1" applyFill="1" applyBorder="1"/>
    <xf numFmtId="0" fontId="5" fillId="5" borderId="17" xfId="0" applyFont="1" applyFill="1" applyBorder="1" applyAlignment="1">
      <alignment horizontal="center" vertical="top"/>
    </xf>
    <xf numFmtId="0" fontId="62" fillId="5" borderId="0" xfId="0" applyFont="1" applyFill="1"/>
    <xf numFmtId="0" fontId="63" fillId="0" borderId="0" xfId="0" applyFont="1" applyBorder="1" applyAlignment="1">
      <alignment horizontal="left" vertical="center"/>
    </xf>
    <xf numFmtId="0" fontId="0" fillId="5" borderId="0" xfId="0" applyFill="1"/>
    <xf numFmtId="0" fontId="1" fillId="5" borderId="0" xfId="0" applyFont="1" applyFill="1"/>
    <xf numFmtId="0" fontId="0" fillId="5" borderId="0" xfId="0" applyFill="1" applyBorder="1"/>
    <xf numFmtId="0" fontId="5" fillId="5" borderId="0" xfId="0" applyFont="1" applyFill="1" applyBorder="1" applyAlignment="1">
      <alignment horizontal="right" vertical="center" wrapText="1"/>
    </xf>
    <xf numFmtId="0" fontId="16" fillId="5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3" fontId="12" fillId="5" borderId="0" xfId="0" applyNumberFormat="1" applyFont="1" applyFill="1" applyBorder="1" applyAlignment="1">
      <alignment horizontal="center"/>
    </xf>
    <xf numFmtId="3" fontId="12" fillId="5" borderId="8" xfId="0" applyNumberFormat="1" applyFont="1" applyFill="1" applyBorder="1" applyAlignment="1">
      <alignment horizontal="center"/>
    </xf>
    <xf numFmtId="0" fontId="64" fillId="5" borderId="0" xfId="0" applyFont="1" applyFill="1" applyBorder="1"/>
    <xf numFmtId="3" fontId="44" fillId="5" borderId="43" xfId="0" applyNumberFormat="1" applyFont="1" applyFill="1" applyBorder="1" applyAlignment="1">
      <alignment horizontal="center"/>
    </xf>
    <xf numFmtId="9" fontId="22" fillId="5" borderId="1" xfId="1" applyFont="1" applyFill="1" applyBorder="1" applyAlignment="1">
      <alignment horizontal="center"/>
    </xf>
    <xf numFmtId="0" fontId="14" fillId="5" borderId="0" xfId="0" applyFont="1" applyFill="1" applyAlignment="1">
      <alignment horizontal="right"/>
    </xf>
    <xf numFmtId="0" fontId="65" fillId="5" borderId="2" xfId="0" applyFont="1" applyFill="1" applyBorder="1" applyAlignment="1">
      <alignment horizontal="right" vertical="top"/>
    </xf>
    <xf numFmtId="0" fontId="65" fillId="5" borderId="0" xfId="0" applyFont="1" applyFill="1" applyBorder="1" applyAlignment="1">
      <alignment horizontal="center" vertical="center"/>
    </xf>
    <xf numFmtId="3" fontId="65" fillId="5" borderId="0" xfId="0" applyNumberFormat="1" applyFont="1" applyFill="1" applyBorder="1" applyAlignment="1">
      <alignment horizontal="center" vertical="center"/>
    </xf>
    <xf numFmtId="3" fontId="66" fillId="5" borderId="12" xfId="0" applyNumberFormat="1" applyFont="1" applyFill="1" applyBorder="1" applyAlignment="1">
      <alignment horizontal="center" vertical="center"/>
    </xf>
    <xf numFmtId="0" fontId="65" fillId="5" borderId="11" xfId="0" applyFont="1" applyFill="1" applyBorder="1" applyAlignment="1">
      <alignment horizontal="center" vertical="center"/>
    </xf>
    <xf numFmtId="3" fontId="66" fillId="5" borderId="0" xfId="0" applyNumberFormat="1" applyFont="1" applyFill="1" applyBorder="1" applyAlignment="1">
      <alignment horizontal="center" vertical="center"/>
    </xf>
    <xf numFmtId="0" fontId="32" fillId="5" borderId="0" xfId="0" applyFont="1" applyFill="1" applyBorder="1" applyAlignment="1">
      <alignment horizontal="center"/>
    </xf>
    <xf numFmtId="3" fontId="66" fillId="5" borderId="8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13" borderId="22" xfId="0" applyFont="1" applyFill="1" applyBorder="1" applyAlignment="1">
      <alignment horizontal="center" vertical="center"/>
    </xf>
    <xf numFmtId="0" fontId="3" fillId="13" borderId="23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14" borderId="22" xfId="0" applyFont="1" applyFill="1" applyBorder="1" applyAlignment="1">
      <alignment horizontal="center" vertical="center"/>
    </xf>
    <xf numFmtId="0" fontId="3" fillId="14" borderId="23" xfId="0" applyFont="1" applyFill="1" applyBorder="1" applyAlignment="1">
      <alignment horizontal="center" vertical="center"/>
    </xf>
    <xf numFmtId="0" fontId="3" fillId="14" borderId="24" xfId="0" applyFont="1" applyFill="1" applyBorder="1" applyAlignment="1">
      <alignment horizontal="center" vertical="center"/>
    </xf>
    <xf numFmtId="4" fontId="9" fillId="0" borderId="0" xfId="0" applyNumberFormat="1" applyFont="1" applyAlignment="1">
      <alignment horizontal="center"/>
    </xf>
    <xf numFmtId="3" fontId="5" fillId="0" borderId="0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0" fontId="3" fillId="0" borderId="0" xfId="0" applyFont="1"/>
    <xf numFmtId="165" fontId="3" fillId="0" borderId="24" xfId="0" applyNumberFormat="1" applyFont="1" applyBorder="1" applyAlignment="1">
      <alignment horizontal="center"/>
    </xf>
    <xf numFmtId="0" fontId="3" fillId="0" borderId="24" xfId="0" applyFont="1" applyBorder="1"/>
    <xf numFmtId="0" fontId="3" fillId="0" borderId="26" xfId="0" applyFont="1" applyBorder="1"/>
    <xf numFmtId="0" fontId="3" fillId="0" borderId="29" xfId="0" applyFont="1" applyBorder="1"/>
    <xf numFmtId="3" fontId="3" fillId="13" borderId="30" xfId="0" applyNumberFormat="1" applyFont="1" applyFill="1" applyBorder="1" applyAlignment="1">
      <alignment horizontal="center"/>
    </xf>
    <xf numFmtId="3" fontId="3" fillId="13" borderId="31" xfId="0" applyNumberFormat="1" applyFont="1" applyFill="1" applyBorder="1" applyAlignment="1">
      <alignment horizontal="center"/>
    </xf>
    <xf numFmtId="165" fontId="3" fillId="0" borderId="26" xfId="0" applyNumberFormat="1" applyFont="1" applyBorder="1" applyAlignment="1">
      <alignment horizontal="center"/>
    </xf>
    <xf numFmtId="3" fontId="3" fillId="13" borderId="32" xfId="0" applyNumberFormat="1" applyFont="1" applyFill="1" applyBorder="1" applyAlignment="1">
      <alignment horizontal="center"/>
    </xf>
    <xf numFmtId="165" fontId="3" fillId="0" borderId="29" xfId="0" applyNumberFormat="1" applyFont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3" fillId="0" borderId="30" xfId="0" applyNumberFormat="1" applyFont="1" applyBorder="1" applyAlignment="1">
      <alignment horizontal="center"/>
    </xf>
    <xf numFmtId="3" fontId="3" fillId="0" borderId="31" xfId="0" applyNumberFormat="1" applyFont="1" applyBorder="1" applyAlignment="1">
      <alignment horizontal="center"/>
    </xf>
    <xf numFmtId="3" fontId="3" fillId="0" borderId="32" xfId="0" applyNumberFormat="1" applyFont="1" applyBorder="1" applyAlignment="1">
      <alignment horizontal="center"/>
    </xf>
    <xf numFmtId="3" fontId="3" fillId="0" borderId="0" xfId="0" applyNumberFormat="1" applyFont="1" applyFill="1"/>
    <xf numFmtId="0" fontId="67" fillId="5" borderId="0" xfId="0" applyFont="1" applyFill="1" applyAlignment="1">
      <alignment horizontal="right"/>
    </xf>
    <xf numFmtId="0" fontId="67" fillId="5" borderId="0" xfId="0" applyFont="1" applyFill="1" applyAlignment="1">
      <alignment horizontal="right" vertical="center"/>
    </xf>
    <xf numFmtId="0" fontId="3" fillId="5" borderId="0" xfId="0" applyFont="1" applyFill="1"/>
    <xf numFmtId="165" fontId="3" fillId="13" borderId="26" xfId="0" applyNumberFormat="1" applyFont="1" applyFill="1" applyBorder="1" applyAlignment="1">
      <alignment horizontal="center"/>
    </xf>
    <xf numFmtId="3" fontId="19" fillId="0" borderId="31" xfId="0" applyNumberFormat="1" applyFont="1" applyFill="1" applyBorder="1" applyAlignment="1">
      <alignment horizontal="center"/>
    </xf>
    <xf numFmtId="3" fontId="19" fillId="0" borderId="32" xfId="0" applyNumberFormat="1" applyFont="1" applyFill="1" applyBorder="1" applyAlignment="1">
      <alignment horizontal="center"/>
    </xf>
    <xf numFmtId="0" fontId="3" fillId="0" borderId="22" xfId="0" applyFont="1" applyBorder="1"/>
    <xf numFmtId="0" fontId="3" fillId="0" borderId="25" xfId="0" applyFont="1" applyBorder="1"/>
    <xf numFmtId="0" fontId="3" fillId="0" borderId="27" xfId="0" applyFont="1" applyBorder="1"/>
    <xf numFmtId="3" fontId="3" fillId="13" borderId="21" xfId="0" applyNumberFormat="1" applyFont="1" applyFill="1" applyBorder="1"/>
    <xf numFmtId="3" fontId="3" fillId="0" borderId="0" xfId="0" applyNumberFormat="1" applyFont="1" applyBorder="1" applyAlignment="1">
      <alignment horizontal="center"/>
    </xf>
    <xf numFmtId="3" fontId="3" fillId="13" borderId="22" xfId="0" applyNumberFormat="1" applyFont="1" applyFill="1" applyBorder="1" applyAlignment="1">
      <alignment horizontal="center"/>
    </xf>
    <xf numFmtId="3" fontId="3" fillId="13" borderId="25" xfId="0" applyNumberFormat="1" applyFont="1" applyFill="1" applyBorder="1" applyAlignment="1">
      <alignment horizontal="center"/>
    </xf>
    <xf numFmtId="3" fontId="3" fillId="13" borderId="27" xfId="0" applyNumberFormat="1" applyFont="1" applyFill="1" applyBorder="1" applyAlignment="1">
      <alignment horizontal="center"/>
    </xf>
    <xf numFmtId="165" fontId="3" fillId="0" borderId="30" xfId="0" applyNumberFormat="1" applyFont="1" applyBorder="1" applyAlignment="1">
      <alignment horizontal="center"/>
    </xf>
    <xf numFmtId="165" fontId="3" fillId="0" borderId="31" xfId="0" applyNumberFormat="1" applyFont="1" applyBorder="1" applyAlignment="1">
      <alignment horizontal="center"/>
    </xf>
    <xf numFmtId="165" fontId="3" fillId="0" borderId="32" xfId="0" applyNumberFormat="1" applyFont="1" applyBorder="1" applyAlignment="1">
      <alignment horizontal="center"/>
    </xf>
    <xf numFmtId="3" fontId="3" fillId="13" borderId="23" xfId="0" applyNumberFormat="1" applyFont="1" applyFill="1" applyBorder="1" applyAlignment="1">
      <alignment horizontal="center"/>
    </xf>
    <xf numFmtId="3" fontId="3" fillId="13" borderId="0" xfId="0" applyNumberFormat="1" applyFont="1" applyFill="1" applyBorder="1" applyAlignment="1">
      <alignment horizontal="center"/>
    </xf>
    <xf numFmtId="3" fontId="3" fillId="13" borderId="28" xfId="0" applyNumberFormat="1" applyFont="1" applyFill="1" applyBorder="1" applyAlignment="1">
      <alignment horizontal="center"/>
    </xf>
    <xf numFmtId="3" fontId="3" fillId="0" borderId="31" xfId="0" applyNumberFormat="1" applyFont="1" applyFill="1" applyBorder="1" applyAlignment="1">
      <alignment horizontal="center"/>
    </xf>
    <xf numFmtId="0" fontId="3" fillId="13" borderId="31" xfId="0" applyFont="1" applyFill="1" applyBorder="1" applyAlignment="1">
      <alignment horizontal="center"/>
    </xf>
    <xf numFmtId="3" fontId="19" fillId="0" borderId="31" xfId="0" applyNumberFormat="1" applyFont="1" applyBorder="1" applyAlignment="1">
      <alignment horizontal="center"/>
    </xf>
    <xf numFmtId="3" fontId="3" fillId="0" borderId="25" xfId="0" applyNumberFormat="1" applyFont="1" applyFill="1" applyBorder="1" applyAlignment="1">
      <alignment horizontal="center"/>
    </xf>
    <xf numFmtId="3" fontId="19" fillId="0" borderId="25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28" xfId="0" applyNumberFormat="1" applyFont="1" applyBorder="1" applyAlignment="1">
      <alignment horizontal="center"/>
    </xf>
    <xf numFmtId="0" fontId="3" fillId="0" borderId="0" xfId="0" applyFont="1" applyBorder="1"/>
    <xf numFmtId="1" fontId="3" fillId="0" borderId="30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3" fontId="3" fillId="0" borderId="25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1" fontId="3" fillId="0" borderId="31" xfId="0" applyNumberFormat="1" applyFont="1" applyBorder="1" applyAlignment="1">
      <alignment horizontal="center"/>
    </xf>
    <xf numFmtId="1" fontId="3" fillId="0" borderId="32" xfId="0" applyNumberFormat="1" applyFont="1" applyBorder="1" applyAlignment="1">
      <alignment horizontal="center"/>
    </xf>
    <xf numFmtId="3" fontId="21" fillId="0" borderId="0" xfId="0" applyNumberFormat="1" applyFont="1"/>
    <xf numFmtId="0" fontId="21" fillId="0" borderId="0" xfId="0" applyFont="1"/>
    <xf numFmtId="0" fontId="7" fillId="0" borderId="0" xfId="0" applyFont="1" applyBorder="1"/>
    <xf numFmtId="3" fontId="19" fillId="0" borderId="32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3" fillId="6" borderId="5" xfId="0" applyFont="1" applyFill="1" applyBorder="1"/>
    <xf numFmtId="0" fontId="3" fillId="6" borderId="6" xfId="0" applyFont="1" applyFill="1" applyBorder="1"/>
    <xf numFmtId="0" fontId="68" fillId="6" borderId="22" xfId="0" applyFont="1" applyFill="1" applyBorder="1" applyAlignment="1">
      <alignment horizontal="center"/>
    </xf>
    <xf numFmtId="0" fontId="68" fillId="0" borderId="0" xfId="0" applyFont="1"/>
    <xf numFmtId="0" fontId="68" fillId="6" borderId="4" xfId="0" applyFont="1" applyFill="1" applyBorder="1"/>
    <xf numFmtId="0" fontId="68" fillId="6" borderId="5" xfId="0" applyFont="1" applyFill="1" applyBorder="1"/>
    <xf numFmtId="0" fontId="68" fillId="6" borderId="6" xfId="0" applyFont="1" applyFill="1" applyBorder="1"/>
    <xf numFmtId="0" fontId="69" fillId="0" borderId="0" xfId="0" applyFont="1" applyAlignment="1">
      <alignment horizontal="center"/>
    </xf>
    <xf numFmtId="3" fontId="70" fillId="6" borderId="24" xfId="0" applyNumberFormat="1" applyFont="1" applyFill="1" applyBorder="1" applyAlignment="1">
      <alignment horizontal="center"/>
    </xf>
    <xf numFmtId="3" fontId="72" fillId="0" borderId="0" xfId="0" applyNumberFormat="1" applyFont="1" applyAlignment="1">
      <alignment horizontal="center"/>
    </xf>
    <xf numFmtId="3" fontId="52" fillId="5" borderId="0" xfId="0" applyNumberFormat="1" applyFont="1" applyFill="1" applyBorder="1" applyAlignment="1">
      <alignment horizontal="center" vertical="center"/>
    </xf>
    <xf numFmtId="3" fontId="52" fillId="0" borderId="0" xfId="0" applyNumberFormat="1" applyFont="1" applyBorder="1" applyAlignment="1">
      <alignment horizontal="center"/>
    </xf>
    <xf numFmtId="3" fontId="52" fillId="0" borderId="0" xfId="0" applyNumberFormat="1" applyFont="1" applyFill="1" applyBorder="1" applyAlignment="1">
      <alignment horizontal="center"/>
    </xf>
    <xf numFmtId="3" fontId="52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right"/>
    </xf>
    <xf numFmtId="3" fontId="52" fillId="5" borderId="0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52" fillId="5" borderId="0" xfId="0" applyFont="1" applyFill="1" applyAlignment="1">
      <alignment horizontal="center"/>
    </xf>
    <xf numFmtId="9" fontId="52" fillId="5" borderId="0" xfId="0" applyNumberFormat="1" applyFont="1" applyFill="1" applyAlignment="1">
      <alignment horizontal="center"/>
    </xf>
    <xf numFmtId="0" fontId="73" fillId="5" borderId="0" xfId="0" applyFont="1" applyFill="1"/>
    <xf numFmtId="3" fontId="52" fillId="5" borderId="0" xfId="0" applyNumberFormat="1" applyFont="1" applyFill="1" applyAlignment="1">
      <alignment horizontal="center"/>
    </xf>
    <xf numFmtId="0" fontId="36" fillId="0" borderId="0" xfId="0" applyFont="1" applyAlignment="1">
      <alignment horizontal="center"/>
    </xf>
    <xf numFmtId="0" fontId="16" fillId="5" borderId="0" xfId="0" applyFont="1" applyFill="1" applyBorder="1" applyAlignment="1">
      <alignment horizontal="center"/>
    </xf>
    <xf numFmtId="168" fontId="2" fillId="15" borderId="4" xfId="0" applyNumberFormat="1" applyFont="1" applyFill="1" applyBorder="1" applyAlignment="1">
      <alignment horizontal="center"/>
    </xf>
    <xf numFmtId="168" fontId="2" fillId="15" borderId="6" xfId="0" applyNumberFormat="1" applyFont="1" applyFill="1" applyBorder="1" applyAlignment="1">
      <alignment horizontal="center"/>
    </xf>
    <xf numFmtId="3" fontId="36" fillId="0" borderId="23" xfId="0" applyNumberFormat="1" applyFont="1" applyBorder="1" applyAlignment="1">
      <alignment horizontal="center"/>
    </xf>
    <xf numFmtId="3" fontId="58" fillId="7" borderId="0" xfId="0" applyNumberFormat="1" applyFont="1" applyFill="1" applyBorder="1" applyAlignment="1">
      <alignment horizontal="center"/>
    </xf>
    <xf numFmtId="3" fontId="36" fillId="0" borderId="0" xfId="0" applyNumberFormat="1" applyFont="1" applyBorder="1" applyAlignment="1">
      <alignment horizontal="center"/>
    </xf>
    <xf numFmtId="9" fontId="36" fillId="0" borderId="26" xfId="1" applyFont="1" applyBorder="1" applyAlignment="1">
      <alignment horizontal="center"/>
    </xf>
    <xf numFmtId="3" fontId="58" fillId="14" borderId="28" xfId="0" applyNumberFormat="1" applyFont="1" applyFill="1" applyBorder="1" applyAlignment="1">
      <alignment horizontal="center"/>
    </xf>
    <xf numFmtId="9" fontId="36" fillId="0" borderId="29" xfId="1" applyFont="1" applyBorder="1" applyAlignment="1">
      <alignment horizontal="center"/>
    </xf>
    <xf numFmtId="0" fontId="74" fillId="0" borderId="22" xfId="0" applyFont="1" applyBorder="1"/>
    <xf numFmtId="0" fontId="74" fillId="0" borderId="25" xfId="0" applyFont="1" applyBorder="1"/>
    <xf numFmtId="0" fontId="74" fillId="0" borderId="27" xfId="0" applyFont="1" applyBorder="1"/>
    <xf numFmtId="3" fontId="9" fillId="0" borderId="0" xfId="0" applyNumberFormat="1" applyFont="1" applyBorder="1" applyAlignment="1">
      <alignment horizontal="center"/>
    </xf>
    <xf numFmtId="3" fontId="46" fillId="5" borderId="0" xfId="0" applyNumberFormat="1" applyFont="1" applyFill="1" applyBorder="1" applyAlignment="1">
      <alignment horizontal="center"/>
    </xf>
    <xf numFmtId="0" fontId="75" fillId="5" borderId="0" xfId="0" applyFont="1" applyFill="1" applyAlignment="1">
      <alignment horizontal="center"/>
    </xf>
    <xf numFmtId="0" fontId="76" fillId="5" borderId="0" xfId="0" applyFon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2" fontId="13" fillId="5" borderId="0" xfId="0" applyNumberFormat="1" applyFont="1" applyFill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9" fillId="6" borderId="40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5" borderId="1" xfId="0" applyFont="1" applyFill="1" applyBorder="1"/>
    <xf numFmtId="3" fontId="21" fillId="6" borderId="1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33" fillId="0" borderId="0" xfId="0" applyFont="1" applyBorder="1" applyAlignment="1"/>
    <xf numFmtId="0" fontId="33" fillId="0" borderId="0" xfId="0" applyFont="1" applyBorder="1" applyAlignment="1">
      <alignment horizontal="left" vertical="top"/>
    </xf>
    <xf numFmtId="0" fontId="29" fillId="6" borderId="0" xfId="0" applyFont="1" applyFill="1" applyBorder="1" applyAlignment="1">
      <alignment horizontal="center"/>
    </xf>
    <xf numFmtId="170" fontId="29" fillId="6" borderId="0" xfId="0" applyNumberFormat="1" applyFont="1" applyFill="1" applyBorder="1" applyAlignment="1">
      <alignment horizontal="center"/>
    </xf>
    <xf numFmtId="0" fontId="78" fillId="0" borderId="0" xfId="0" applyFont="1" applyBorder="1"/>
    <xf numFmtId="0" fontId="79" fillId="6" borderId="0" xfId="0" applyFont="1" applyFill="1" applyBorder="1" applyAlignment="1">
      <alignment horizontal="center"/>
    </xf>
    <xf numFmtId="0" fontId="32" fillId="6" borderId="0" xfId="0" applyFont="1" applyFill="1" applyBorder="1" applyAlignment="1">
      <alignment horizontal="center"/>
    </xf>
    <xf numFmtId="170" fontId="80" fillId="6" borderId="0" xfId="0" applyNumberFormat="1" applyFont="1" applyFill="1" applyBorder="1" applyAlignment="1">
      <alignment horizontal="center"/>
    </xf>
    <xf numFmtId="0" fontId="8" fillId="0" borderId="1" xfId="0" applyFont="1" applyBorder="1"/>
    <xf numFmtId="170" fontId="10" fillId="0" borderId="1" xfId="0" applyNumberFormat="1" applyFont="1" applyBorder="1" applyAlignment="1">
      <alignment horizontal="center"/>
    </xf>
    <xf numFmtId="170" fontId="10" fillId="16" borderId="1" xfId="0" applyNumberFormat="1" applyFont="1" applyFill="1" applyBorder="1" applyAlignment="1">
      <alignment horizontal="center"/>
    </xf>
    <xf numFmtId="0" fontId="81" fillId="0" borderId="11" xfId="0" applyFont="1" applyBorder="1"/>
    <xf numFmtId="0" fontId="81" fillId="0" borderId="0" xfId="0" applyFont="1" applyBorder="1"/>
    <xf numFmtId="0" fontId="81" fillId="0" borderId="12" xfId="0" applyFont="1" applyBorder="1"/>
    <xf numFmtId="0" fontId="81" fillId="0" borderId="13" xfId="0" applyFont="1" applyBorder="1"/>
    <xf numFmtId="0" fontId="81" fillId="0" borderId="15" xfId="0" applyFont="1" applyBorder="1"/>
    <xf numFmtId="0" fontId="81" fillId="0" borderId="14" xfId="0" applyFont="1" applyBorder="1"/>
    <xf numFmtId="0" fontId="9" fillId="0" borderId="0" xfId="0" applyFont="1"/>
    <xf numFmtId="0" fontId="79" fillId="17" borderId="21" xfId="0" applyFont="1" applyFill="1" applyBorder="1" applyAlignment="1">
      <alignment horizontal="center"/>
    </xf>
    <xf numFmtId="0" fontId="79" fillId="7" borderId="22" xfId="0" applyFont="1" applyFill="1" applyBorder="1" applyAlignment="1">
      <alignment horizontal="center"/>
    </xf>
    <xf numFmtId="0" fontId="79" fillId="7" borderId="23" xfId="0" applyFont="1" applyFill="1" applyBorder="1" applyAlignment="1">
      <alignment horizontal="center"/>
    </xf>
    <xf numFmtId="0" fontId="79" fillId="7" borderId="24" xfId="0" applyFont="1" applyFill="1" applyBorder="1" applyAlignment="1">
      <alignment horizontal="center"/>
    </xf>
    <xf numFmtId="0" fontId="79" fillId="7" borderId="4" xfId="0" applyFont="1" applyFill="1" applyBorder="1" applyAlignment="1">
      <alignment horizontal="center"/>
    </xf>
    <xf numFmtId="0" fontId="79" fillId="7" borderId="5" xfId="0" applyFont="1" applyFill="1" applyBorder="1" applyAlignment="1">
      <alignment horizontal="center"/>
    </xf>
    <xf numFmtId="0" fontId="79" fillId="7" borderId="6" xfId="0" applyFont="1" applyFill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166" fontId="9" fillId="0" borderId="1" xfId="1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9" fontId="9" fillId="0" borderId="2" xfId="1" applyFont="1" applyBorder="1" applyAlignment="1">
      <alignment horizontal="center"/>
    </xf>
    <xf numFmtId="165" fontId="9" fillId="0" borderId="2" xfId="0" applyNumberFormat="1" applyFont="1" applyBorder="1" applyAlignment="1">
      <alignment horizontal="center"/>
    </xf>
    <xf numFmtId="9" fontId="9" fillId="0" borderId="1" xfId="1" applyFont="1" applyBorder="1" applyAlignment="1">
      <alignment horizontal="center"/>
    </xf>
    <xf numFmtId="0" fontId="79" fillId="17" borderId="30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32" fillId="0" borderId="0" xfId="0" applyFont="1"/>
    <xf numFmtId="0" fontId="9" fillId="0" borderId="0" xfId="0" applyFont="1" applyAlignment="1">
      <alignment horizontal="right"/>
    </xf>
    <xf numFmtId="0" fontId="79" fillId="0" borderId="0" xfId="0" applyFont="1" applyFill="1" applyBorder="1" applyAlignment="1">
      <alignment horizontal="center"/>
    </xf>
    <xf numFmtId="3" fontId="9" fillId="0" borderId="1" xfId="0" applyNumberFormat="1" applyFont="1" applyBorder="1"/>
    <xf numFmtId="0" fontId="32" fillId="0" borderId="0" xfId="0" applyFont="1" applyAlignment="1">
      <alignment horizontal="right"/>
    </xf>
    <xf numFmtId="0" fontId="84" fillId="0" borderId="0" xfId="0" applyFont="1" applyFill="1" applyBorder="1" applyAlignment="1">
      <alignment horizontal="center"/>
    </xf>
    <xf numFmtId="0" fontId="85" fillId="0" borderId="0" xfId="0" applyFont="1"/>
    <xf numFmtId="0" fontId="85" fillId="0" borderId="0" xfId="0" applyFont="1" applyAlignment="1">
      <alignment horizontal="center"/>
    </xf>
    <xf numFmtId="3" fontId="85" fillId="0" borderId="0" xfId="0" applyNumberFormat="1" applyFont="1" applyBorder="1" applyAlignment="1">
      <alignment horizontal="center"/>
    </xf>
    <xf numFmtId="0" fontId="86" fillId="0" borderId="0" xfId="0" applyFont="1"/>
    <xf numFmtId="3" fontId="85" fillId="0" borderId="0" xfId="0" applyNumberFormat="1" applyFont="1"/>
    <xf numFmtId="0" fontId="84" fillId="0" borderId="0" xfId="0" applyFont="1" applyFill="1" applyBorder="1" applyAlignment="1">
      <alignment horizontal="left"/>
    </xf>
    <xf numFmtId="3" fontId="85" fillId="0" borderId="0" xfId="0" applyNumberFormat="1" applyFont="1" applyFill="1" applyBorder="1" applyAlignment="1">
      <alignment horizontal="center"/>
    </xf>
    <xf numFmtId="0" fontId="54" fillId="0" borderId="0" xfId="0" applyFont="1" applyBorder="1" applyAlignment="1">
      <alignment vertical="center"/>
    </xf>
    <xf numFmtId="0" fontId="87" fillId="0" borderId="0" xfId="0" applyFont="1"/>
    <xf numFmtId="0" fontId="27" fillId="0" borderId="0" xfId="0" applyFont="1" applyAlignment="1"/>
    <xf numFmtId="0" fontId="27" fillId="0" borderId="0" xfId="0" applyFont="1"/>
    <xf numFmtId="0" fontId="89" fillId="0" borderId="0" xfId="0" applyFont="1" applyAlignment="1">
      <alignment horizontal="left"/>
    </xf>
    <xf numFmtId="0" fontId="90" fillId="0" borderId="0" xfId="0" applyFont="1"/>
    <xf numFmtId="0" fontId="89" fillId="0" borderId="0" xfId="0" applyFont="1"/>
    <xf numFmtId="0" fontId="91" fillId="0" borderId="0" xfId="0" applyFont="1" applyBorder="1" applyAlignment="1">
      <alignment horizontal="left" vertical="center"/>
    </xf>
    <xf numFmtId="0" fontId="90" fillId="0" borderId="0" xfId="0" applyFont="1" applyAlignment="1">
      <alignment horizontal="left"/>
    </xf>
    <xf numFmtId="0" fontId="24" fillId="19" borderId="0" xfId="0" applyFont="1" applyFill="1"/>
    <xf numFmtId="0" fontId="24" fillId="19" borderId="0" xfId="0" applyFont="1" applyFill="1" applyBorder="1"/>
    <xf numFmtId="0" fontId="54" fillId="19" borderId="0" xfId="0" applyFont="1" applyFill="1" applyBorder="1" applyAlignment="1">
      <alignment vertical="center"/>
    </xf>
    <xf numFmtId="0" fontId="93" fillId="0" borderId="0" xfId="0" applyFont="1" applyFill="1" applyBorder="1" applyAlignment="1">
      <alignment horizontal="center" vertical="center"/>
    </xf>
    <xf numFmtId="0" fontId="94" fillId="0" borderId="0" xfId="0" applyFont="1" applyFill="1" applyBorder="1" applyAlignment="1">
      <alignment horizontal="center" vertical="center"/>
    </xf>
    <xf numFmtId="166" fontId="94" fillId="0" borderId="0" xfId="1" applyNumberFormat="1" applyFont="1" applyFill="1" applyBorder="1" applyAlignment="1">
      <alignment horizontal="center" vertical="center"/>
    </xf>
    <xf numFmtId="0" fontId="24" fillId="0" borderId="45" xfId="0" applyFont="1" applyBorder="1"/>
    <xf numFmtId="0" fontId="24" fillId="0" borderId="46" xfId="0" applyFont="1" applyBorder="1"/>
    <xf numFmtId="0" fontId="95" fillId="20" borderId="44" xfId="0" applyFont="1" applyFill="1" applyBorder="1" applyAlignment="1">
      <alignment horizontal="center" vertical="center"/>
    </xf>
    <xf numFmtId="0" fontId="95" fillId="20" borderId="47" xfId="0" applyFont="1" applyFill="1" applyBorder="1" applyAlignment="1">
      <alignment horizontal="center" vertical="center"/>
    </xf>
    <xf numFmtId="0" fontId="96" fillId="20" borderId="49" xfId="0" applyFont="1" applyFill="1" applyBorder="1" applyAlignment="1">
      <alignment horizontal="center" vertical="center"/>
    </xf>
    <xf numFmtId="0" fontId="96" fillId="20" borderId="46" xfId="0" applyFont="1" applyFill="1" applyBorder="1" applyAlignment="1">
      <alignment horizontal="center" vertical="center"/>
    </xf>
    <xf numFmtId="0" fontId="96" fillId="20" borderId="50" xfId="0" applyFont="1" applyFill="1" applyBorder="1" applyAlignment="1">
      <alignment horizontal="center" vertical="center"/>
    </xf>
    <xf numFmtId="0" fontId="96" fillId="20" borderId="48" xfId="0" applyFont="1" applyFill="1" applyBorder="1" applyAlignment="1">
      <alignment horizontal="center" vertical="center"/>
    </xf>
    <xf numFmtId="166" fontId="97" fillId="20" borderId="47" xfId="1" applyNumberFormat="1" applyFont="1" applyFill="1" applyBorder="1" applyAlignment="1">
      <alignment horizontal="center" vertical="center"/>
    </xf>
    <xf numFmtId="0" fontId="98" fillId="5" borderId="0" xfId="0" applyFont="1" applyFill="1"/>
    <xf numFmtId="0" fontId="3" fillId="13" borderId="1" xfId="0" applyFont="1" applyFill="1" applyBorder="1" applyAlignment="1">
      <alignment horizontal="center" vertical="center"/>
    </xf>
    <xf numFmtId="0" fontId="43" fillId="21" borderId="32" xfId="0" applyFont="1" applyFill="1" applyBorder="1" applyAlignment="1">
      <alignment horizontal="center" vertical="center"/>
    </xf>
    <xf numFmtId="0" fontId="3" fillId="21" borderId="0" xfId="0" applyFont="1" applyFill="1" applyBorder="1" applyAlignment="1">
      <alignment horizontal="center" vertical="center"/>
    </xf>
    <xf numFmtId="9" fontId="67" fillId="21" borderId="0" xfId="0" applyNumberFormat="1" applyFont="1" applyFill="1" applyBorder="1" applyAlignment="1">
      <alignment horizontal="center" vertical="center"/>
    </xf>
    <xf numFmtId="0" fontId="43" fillId="21" borderId="0" xfId="0" applyFont="1" applyFill="1" applyBorder="1" applyAlignment="1">
      <alignment horizontal="center" vertical="center"/>
    </xf>
    <xf numFmtId="9" fontId="21" fillId="21" borderId="1" xfId="0" applyNumberFormat="1" applyFont="1" applyFill="1" applyBorder="1" applyAlignment="1">
      <alignment horizontal="center" vertical="center"/>
    </xf>
    <xf numFmtId="9" fontId="3" fillId="21" borderId="0" xfId="0" applyNumberFormat="1" applyFont="1" applyFill="1" applyBorder="1" applyAlignment="1">
      <alignment horizontal="center" vertical="center"/>
    </xf>
    <xf numFmtId="3" fontId="5" fillId="21" borderId="17" xfId="0" applyNumberFormat="1" applyFont="1" applyFill="1" applyBorder="1" applyAlignment="1">
      <alignment horizontal="center" vertical="center"/>
    </xf>
    <xf numFmtId="0" fontId="5" fillId="21" borderId="0" xfId="0" applyFont="1" applyFill="1" applyBorder="1" applyAlignment="1">
      <alignment horizontal="center" vertical="center"/>
    </xf>
    <xf numFmtId="3" fontId="5" fillId="21" borderId="0" xfId="0" applyNumberFormat="1" applyFont="1" applyFill="1" applyBorder="1" applyAlignment="1">
      <alignment horizontal="center" vertical="center"/>
    </xf>
    <xf numFmtId="9" fontId="5" fillId="21" borderId="0" xfId="0" applyNumberFormat="1" applyFont="1" applyFill="1" applyBorder="1" applyAlignment="1">
      <alignment horizontal="center" vertical="center"/>
    </xf>
    <xf numFmtId="2" fontId="5" fillId="21" borderId="0" xfId="0" applyNumberFormat="1" applyFont="1" applyFill="1" applyBorder="1" applyAlignment="1">
      <alignment horizontal="center" vertical="center"/>
    </xf>
    <xf numFmtId="3" fontId="43" fillId="21" borderId="30" xfId="0" applyNumberFormat="1" applyFont="1" applyFill="1" applyBorder="1" applyAlignment="1">
      <alignment horizontal="center" vertical="center"/>
    </xf>
    <xf numFmtId="3" fontId="5" fillId="21" borderId="40" xfId="0" applyNumberFormat="1" applyFont="1" applyFill="1" applyBorder="1" applyAlignment="1">
      <alignment horizontal="center" vertical="center"/>
    </xf>
    <xf numFmtId="3" fontId="43" fillId="21" borderId="31" xfId="0" applyNumberFormat="1" applyFont="1" applyFill="1" applyBorder="1" applyAlignment="1">
      <alignment horizontal="center" vertical="center"/>
    </xf>
    <xf numFmtId="3" fontId="5" fillId="21" borderId="7" xfId="0" applyNumberFormat="1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 vertical="center"/>
    </xf>
    <xf numFmtId="3" fontId="5" fillId="21" borderId="3" xfId="0" applyNumberFormat="1" applyFont="1" applyFill="1" applyBorder="1" applyAlignment="1">
      <alignment horizontal="center" vertical="center"/>
    </xf>
    <xf numFmtId="3" fontId="43" fillId="21" borderId="20" xfId="0" applyNumberFormat="1" applyFont="1" applyFill="1" applyBorder="1" applyAlignment="1">
      <alignment horizontal="center" vertical="center"/>
    </xf>
    <xf numFmtId="165" fontId="5" fillId="21" borderId="0" xfId="0" applyNumberFormat="1" applyFont="1" applyFill="1" applyBorder="1" applyAlignment="1">
      <alignment horizontal="center" vertical="center"/>
    </xf>
    <xf numFmtId="3" fontId="6" fillId="21" borderId="3" xfId="0" applyNumberFormat="1" applyFont="1" applyFill="1" applyBorder="1" applyAlignment="1">
      <alignment horizontal="center" vertical="center"/>
    </xf>
    <xf numFmtId="166" fontId="7" fillId="21" borderId="2" xfId="0" applyNumberFormat="1" applyFont="1" applyFill="1" applyBorder="1" applyAlignment="1">
      <alignment horizontal="center" vertical="center"/>
    </xf>
    <xf numFmtId="3" fontId="43" fillId="21" borderId="0" xfId="0" applyNumberFormat="1" applyFont="1" applyFill="1" applyBorder="1" applyAlignment="1">
      <alignment horizontal="center" vertical="center"/>
    </xf>
    <xf numFmtId="3" fontId="6" fillId="21" borderId="0" xfId="0" applyNumberFormat="1" applyFont="1" applyFill="1" applyBorder="1" applyAlignment="1">
      <alignment horizontal="center" vertical="center"/>
    </xf>
    <xf numFmtId="3" fontId="3" fillId="21" borderId="3" xfId="0" applyNumberFormat="1" applyFont="1" applyFill="1" applyBorder="1" applyAlignment="1">
      <alignment horizontal="center" vertical="center"/>
    </xf>
    <xf numFmtId="0" fontId="7" fillId="21" borderId="3" xfId="0" applyFont="1" applyFill="1" applyBorder="1" applyAlignment="1">
      <alignment horizontal="center" vertical="center"/>
    </xf>
    <xf numFmtId="168" fontId="7" fillId="21" borderId="3" xfId="0" applyNumberFormat="1" applyFont="1" applyFill="1" applyBorder="1" applyAlignment="1">
      <alignment horizontal="center" vertical="center"/>
    </xf>
    <xf numFmtId="3" fontId="3" fillId="21" borderId="0" xfId="0" applyNumberFormat="1" applyFont="1" applyFill="1" applyBorder="1" applyAlignment="1">
      <alignment horizontal="center" vertical="center"/>
    </xf>
    <xf numFmtId="166" fontId="7" fillId="21" borderId="0" xfId="0" applyNumberFormat="1" applyFont="1" applyFill="1" applyBorder="1" applyAlignment="1">
      <alignment horizontal="center" vertical="center"/>
    </xf>
    <xf numFmtId="1" fontId="43" fillId="21" borderId="0" xfId="0" applyNumberFormat="1" applyFont="1" applyFill="1" applyBorder="1" applyAlignment="1">
      <alignment horizontal="center" vertical="center"/>
    </xf>
    <xf numFmtId="1" fontId="5" fillId="21" borderId="0" xfId="0" applyNumberFormat="1" applyFont="1" applyFill="1" applyBorder="1" applyAlignment="1">
      <alignment horizontal="center" vertical="center"/>
    </xf>
    <xf numFmtId="9" fontId="6" fillId="21" borderId="0" xfId="0" applyNumberFormat="1" applyFont="1" applyFill="1" applyBorder="1" applyAlignment="1">
      <alignment horizontal="center" vertical="center"/>
    </xf>
    <xf numFmtId="3" fontId="21" fillId="21" borderId="1" xfId="0" applyNumberFormat="1" applyFont="1" applyFill="1" applyBorder="1" applyAlignment="1">
      <alignment horizontal="center" vertical="center"/>
    </xf>
    <xf numFmtId="166" fontId="7" fillId="21" borderId="1" xfId="0" applyNumberFormat="1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right" vertical="center"/>
    </xf>
    <xf numFmtId="3" fontId="43" fillId="21" borderId="19" xfId="0" applyNumberFormat="1" applyFont="1" applyFill="1" applyBorder="1" applyAlignment="1">
      <alignment horizontal="center" vertical="center"/>
    </xf>
    <xf numFmtId="0" fontId="6" fillId="21" borderId="0" xfId="0" applyFont="1" applyFill="1" applyBorder="1" applyAlignment="1">
      <alignment horizontal="right" vertical="center"/>
    </xf>
    <xf numFmtId="3" fontId="7" fillId="21" borderId="3" xfId="0" applyNumberFormat="1" applyFont="1" applyFill="1" applyBorder="1" applyAlignment="1">
      <alignment horizontal="center" vertical="center"/>
    </xf>
    <xf numFmtId="166" fontId="23" fillId="21" borderId="0" xfId="0" applyNumberFormat="1" applyFont="1" applyFill="1" applyBorder="1" applyAlignment="1">
      <alignment horizontal="center" vertical="center"/>
    </xf>
    <xf numFmtId="9" fontId="6" fillId="21" borderId="3" xfId="0" applyNumberFormat="1" applyFont="1" applyFill="1" applyBorder="1" applyAlignment="1">
      <alignment horizontal="center" vertical="center"/>
    </xf>
    <xf numFmtId="0" fontId="8" fillId="21" borderId="0" xfId="0" applyFont="1" applyFill="1"/>
    <xf numFmtId="0" fontId="13" fillId="21" borderId="0" xfId="0" applyFont="1" applyFill="1" applyAlignment="1">
      <alignment horizontal="center"/>
    </xf>
    <xf numFmtId="3" fontId="9" fillId="21" borderId="0" xfId="0" applyNumberFormat="1" applyFont="1" applyFill="1"/>
    <xf numFmtId="9" fontId="44" fillId="21" borderId="0" xfId="0" applyNumberFormat="1" applyFont="1" applyFill="1" applyAlignment="1">
      <alignment horizontal="center"/>
    </xf>
    <xf numFmtId="3" fontId="13" fillId="21" borderId="0" xfId="0" applyNumberFormat="1" applyFont="1" applyFill="1" applyAlignment="1">
      <alignment horizontal="center"/>
    </xf>
    <xf numFmtId="9" fontId="77" fillId="21" borderId="1" xfId="0" applyNumberFormat="1" applyFont="1" applyFill="1" applyBorder="1" applyAlignment="1">
      <alignment horizontal="center"/>
    </xf>
    <xf numFmtId="3" fontId="13" fillId="21" borderId="17" xfId="0" applyNumberFormat="1" applyFont="1" applyFill="1" applyBorder="1" applyAlignment="1">
      <alignment horizontal="center"/>
    </xf>
    <xf numFmtId="0" fontId="14" fillId="21" borderId="0" xfId="0" applyFont="1" applyFill="1" applyAlignment="1">
      <alignment horizontal="center"/>
    </xf>
    <xf numFmtId="9" fontId="13" fillId="21" borderId="0" xfId="0" applyNumberFormat="1" applyFont="1" applyFill="1" applyAlignment="1">
      <alignment horizontal="center"/>
    </xf>
    <xf numFmtId="1" fontId="13" fillId="21" borderId="0" xfId="0" applyNumberFormat="1" applyFont="1" applyFill="1" applyAlignment="1">
      <alignment horizontal="center"/>
    </xf>
    <xf numFmtId="3" fontId="44" fillId="21" borderId="30" xfId="0" applyNumberFormat="1" applyFont="1" applyFill="1" applyBorder="1" applyAlignment="1">
      <alignment horizontal="center"/>
    </xf>
    <xf numFmtId="3" fontId="13" fillId="21" borderId="40" xfId="0" applyNumberFormat="1" applyFont="1" applyFill="1" applyBorder="1" applyAlignment="1">
      <alignment horizontal="center"/>
    </xf>
    <xf numFmtId="3" fontId="44" fillId="21" borderId="31" xfId="0" applyNumberFormat="1" applyFont="1" applyFill="1" applyBorder="1" applyAlignment="1">
      <alignment horizontal="center"/>
    </xf>
    <xf numFmtId="0" fontId="14" fillId="21" borderId="40" xfId="0" applyFont="1" applyFill="1" applyBorder="1"/>
    <xf numFmtId="0" fontId="14" fillId="21" borderId="0" xfId="0" applyFont="1" applyFill="1"/>
    <xf numFmtId="0" fontId="50" fillId="21" borderId="31" xfId="0" applyFont="1" applyFill="1" applyBorder="1"/>
    <xf numFmtId="3" fontId="13" fillId="21" borderId="7" xfId="0" applyNumberFormat="1" applyFont="1" applyFill="1" applyBorder="1"/>
    <xf numFmtId="0" fontId="14" fillId="21" borderId="3" xfId="0" applyFont="1" applyFill="1" applyBorder="1"/>
    <xf numFmtId="3" fontId="13" fillId="21" borderId="3" xfId="0" applyNumberFormat="1" applyFont="1" applyFill="1" applyBorder="1" applyAlignment="1">
      <alignment horizontal="center"/>
    </xf>
    <xf numFmtId="9" fontId="9" fillId="21" borderId="3" xfId="0" applyNumberFormat="1" applyFont="1" applyFill="1" applyBorder="1"/>
    <xf numFmtId="3" fontId="44" fillId="21" borderId="19" xfId="0" applyNumberFormat="1" applyFont="1" applyFill="1" applyBorder="1" applyAlignment="1">
      <alignment horizontal="center"/>
    </xf>
    <xf numFmtId="9" fontId="22" fillId="21" borderId="1" xfId="1" applyFont="1" applyFill="1" applyBorder="1" applyAlignment="1">
      <alignment horizontal="center"/>
    </xf>
    <xf numFmtId="3" fontId="9" fillId="21" borderId="7" xfId="0" applyNumberFormat="1" applyFont="1" applyFill="1" applyBorder="1"/>
    <xf numFmtId="0" fontId="8" fillId="21" borderId="3" xfId="0" applyFont="1" applyFill="1" applyBorder="1"/>
    <xf numFmtId="3" fontId="9" fillId="21" borderId="3" xfId="0" applyNumberFormat="1" applyFont="1" applyFill="1" applyBorder="1" applyAlignment="1">
      <alignment horizontal="center"/>
    </xf>
    <xf numFmtId="0" fontId="9" fillId="21" borderId="3" xfId="0" applyFont="1" applyFill="1" applyBorder="1"/>
    <xf numFmtId="3" fontId="13" fillId="21" borderId="3" xfId="0" applyNumberFormat="1" applyFont="1" applyFill="1" applyBorder="1"/>
    <xf numFmtId="3" fontId="9" fillId="21" borderId="0" xfId="0" applyNumberFormat="1" applyFont="1" applyFill="1" applyAlignment="1">
      <alignment horizontal="center"/>
    </xf>
    <xf numFmtId="0" fontId="9" fillId="21" borderId="0" xfId="0" applyFont="1" applyFill="1"/>
    <xf numFmtId="0" fontId="3" fillId="21" borderId="0" xfId="0" applyFont="1" applyFill="1" applyAlignment="1">
      <alignment horizontal="center" vertical="center"/>
    </xf>
    <xf numFmtId="10" fontId="23" fillId="21" borderId="0" xfId="0" applyNumberFormat="1" applyFont="1" applyFill="1" applyAlignment="1">
      <alignment horizontal="center" vertical="center"/>
    </xf>
    <xf numFmtId="0" fontId="43" fillId="21" borderId="0" xfId="0" applyFont="1" applyFill="1" applyAlignment="1">
      <alignment horizontal="center" vertical="center"/>
    </xf>
    <xf numFmtId="0" fontId="7" fillId="21" borderId="0" xfId="0" applyFont="1" applyFill="1"/>
    <xf numFmtId="0" fontId="9" fillId="21" borderId="1" xfId="0" applyFont="1" applyFill="1" applyBorder="1" applyAlignment="1">
      <alignment horizontal="center"/>
    </xf>
    <xf numFmtId="0" fontId="9" fillId="21" borderId="1" xfId="0" applyFont="1" applyFill="1" applyBorder="1"/>
    <xf numFmtId="0" fontId="8" fillId="21" borderId="7" xfId="0" applyFont="1" applyFill="1" applyBorder="1"/>
    <xf numFmtId="9" fontId="13" fillId="21" borderId="3" xfId="0" applyNumberFormat="1" applyFont="1" applyFill="1" applyBorder="1" applyAlignment="1">
      <alignment horizontal="center"/>
    </xf>
    <xf numFmtId="3" fontId="13" fillId="21" borderId="19" xfId="0" applyNumberFormat="1" applyFont="1" applyFill="1" applyBorder="1" applyAlignment="1">
      <alignment horizontal="center"/>
    </xf>
    <xf numFmtId="0" fontId="9" fillId="21" borderId="1" xfId="0" applyFont="1" applyFill="1" applyBorder="1" applyAlignment="1">
      <alignment horizontal="center" vertical="center"/>
    </xf>
    <xf numFmtId="0" fontId="9" fillId="21" borderId="7" xfId="0" applyFont="1" applyFill="1" applyBorder="1" applyAlignment="1">
      <alignment horizontal="center" vertical="center"/>
    </xf>
    <xf numFmtId="0" fontId="9" fillId="21" borderId="0" xfId="0" applyFont="1" applyFill="1" applyAlignment="1">
      <alignment horizontal="center"/>
    </xf>
    <xf numFmtId="9" fontId="11" fillId="21" borderId="9" xfId="0" applyNumberFormat="1" applyFont="1" applyFill="1" applyBorder="1" applyAlignment="1">
      <alignment horizontal="center"/>
    </xf>
    <xf numFmtId="3" fontId="18" fillId="21" borderId="21" xfId="0" applyNumberFormat="1" applyFont="1" applyFill="1" applyBorder="1" applyAlignment="1">
      <alignment horizontal="center"/>
    </xf>
    <xf numFmtId="9" fontId="11" fillId="21" borderId="13" xfId="0" applyNumberFormat="1" applyFont="1" applyFill="1" applyBorder="1" applyAlignment="1">
      <alignment horizontal="center"/>
    </xf>
    <xf numFmtId="169" fontId="17" fillId="21" borderId="21" xfId="0" applyNumberFormat="1" applyFont="1" applyFill="1" applyBorder="1" applyAlignment="1">
      <alignment horizontal="center"/>
    </xf>
    <xf numFmtId="9" fontId="11" fillId="21" borderId="3" xfId="0" applyNumberFormat="1" applyFont="1" applyFill="1" applyBorder="1" applyAlignment="1">
      <alignment horizontal="center"/>
    </xf>
    <xf numFmtId="0" fontId="11" fillId="21" borderId="15" xfId="0" applyFont="1" applyFill="1" applyBorder="1" applyAlignment="1">
      <alignment horizontal="center"/>
    </xf>
    <xf numFmtId="3" fontId="11" fillId="21" borderId="3" xfId="0" applyNumberFormat="1" applyFont="1" applyFill="1" applyBorder="1" applyAlignment="1">
      <alignment horizontal="center"/>
    </xf>
    <xf numFmtId="3" fontId="44" fillId="21" borderId="32" xfId="0" applyNumberFormat="1" applyFont="1" applyFill="1" applyBorder="1" applyAlignment="1">
      <alignment horizontal="center"/>
    </xf>
    <xf numFmtId="9" fontId="11" fillId="21" borderId="0" xfId="0" applyNumberFormat="1" applyFont="1" applyFill="1" applyAlignment="1">
      <alignment horizontal="center"/>
    </xf>
    <xf numFmtId="0" fontId="11" fillId="21" borderId="0" xfId="0" applyFont="1" applyFill="1" applyAlignment="1">
      <alignment horizontal="center"/>
    </xf>
    <xf numFmtId="3" fontId="11" fillId="21" borderId="0" xfId="0" applyNumberFormat="1" applyFont="1" applyFill="1" applyAlignment="1">
      <alignment horizontal="center"/>
    </xf>
    <xf numFmtId="3" fontId="44" fillId="21" borderId="0" xfId="0" applyNumberFormat="1" applyFont="1" applyFill="1" applyAlignment="1">
      <alignment horizontal="center"/>
    </xf>
    <xf numFmtId="0" fontId="11" fillId="21" borderId="3" xfId="0" applyFont="1" applyFill="1" applyBorder="1" applyAlignment="1">
      <alignment horizontal="center"/>
    </xf>
    <xf numFmtId="9" fontId="10" fillId="21" borderId="0" xfId="0" applyNumberFormat="1" applyFont="1" applyFill="1" applyAlignment="1">
      <alignment horizontal="center"/>
    </xf>
    <xf numFmtId="166" fontId="10" fillId="21" borderId="1" xfId="0" applyNumberFormat="1" applyFont="1" applyFill="1" applyBorder="1" applyAlignment="1">
      <alignment horizontal="center"/>
    </xf>
    <xf numFmtId="0" fontId="18" fillId="21" borderId="21" xfId="0" applyFont="1" applyFill="1" applyBorder="1" applyAlignment="1">
      <alignment horizontal="center"/>
    </xf>
    <xf numFmtId="3" fontId="44" fillId="21" borderId="41" xfId="0" applyNumberFormat="1" applyFont="1" applyFill="1" applyBorder="1" applyAlignment="1">
      <alignment horizontal="center"/>
    </xf>
    <xf numFmtId="9" fontId="11" fillId="21" borderId="0" xfId="0" applyNumberFormat="1" applyFont="1" applyFill="1" applyBorder="1" applyAlignment="1">
      <alignment horizontal="center"/>
    </xf>
    <xf numFmtId="0" fontId="11" fillId="21" borderId="0" xfId="0" applyFont="1" applyFill="1" applyBorder="1" applyAlignment="1">
      <alignment horizontal="center"/>
    </xf>
    <xf numFmtId="3" fontId="44" fillId="21" borderId="0" xfId="0" applyNumberFormat="1" applyFont="1" applyFill="1" applyBorder="1" applyAlignment="1">
      <alignment horizontal="center"/>
    </xf>
    <xf numFmtId="9" fontId="10" fillId="21" borderId="0" xfId="0" applyNumberFormat="1" applyFont="1" applyFill="1" applyBorder="1" applyAlignment="1">
      <alignment horizontal="center"/>
    </xf>
    <xf numFmtId="3" fontId="11" fillId="21" borderId="0" xfId="0" applyNumberFormat="1" applyFont="1" applyFill="1" applyBorder="1" applyAlignment="1">
      <alignment horizontal="center"/>
    </xf>
    <xf numFmtId="9" fontId="12" fillId="21" borderId="3" xfId="0" applyNumberFormat="1" applyFont="1" applyFill="1" applyBorder="1" applyAlignment="1">
      <alignment horizontal="center"/>
    </xf>
    <xf numFmtId="0" fontId="12" fillId="21" borderId="3" xfId="0" applyFont="1" applyFill="1" applyBorder="1" applyAlignment="1">
      <alignment horizontal="center"/>
    </xf>
    <xf numFmtId="168" fontId="16" fillId="21" borderId="3" xfId="0" applyNumberFormat="1" applyFont="1" applyFill="1" applyBorder="1" applyAlignment="1">
      <alignment horizontal="center"/>
    </xf>
    <xf numFmtId="168" fontId="16" fillId="21" borderId="8" xfId="0" applyNumberFormat="1" applyFont="1" applyFill="1" applyBorder="1" applyAlignment="1">
      <alignment horizontal="center"/>
    </xf>
    <xf numFmtId="166" fontId="16" fillId="21" borderId="0" xfId="0" applyNumberFormat="1" applyFont="1" applyFill="1" applyAlignment="1">
      <alignment horizontal="center"/>
    </xf>
    <xf numFmtId="0" fontId="11" fillId="21" borderId="0" xfId="0" applyFont="1" applyFill="1"/>
    <xf numFmtId="0" fontId="13" fillId="21" borderId="31" xfId="0" applyFont="1" applyFill="1" applyBorder="1" applyAlignment="1">
      <alignment horizontal="center"/>
    </xf>
    <xf numFmtId="0" fontId="9" fillId="21" borderId="3" xfId="0" applyFont="1" applyFill="1" applyBorder="1" applyAlignment="1">
      <alignment horizontal="center"/>
    </xf>
    <xf numFmtId="0" fontId="9" fillId="21" borderId="20" xfId="0" applyFont="1" applyFill="1" applyBorder="1" applyAlignment="1">
      <alignment horizontal="center"/>
    </xf>
    <xf numFmtId="0" fontId="13" fillId="21" borderId="0" xfId="0" applyFont="1" applyFill="1"/>
    <xf numFmtId="0" fontId="13" fillId="21" borderId="30" xfId="0" applyFont="1" applyFill="1" applyBorder="1" applyAlignment="1">
      <alignment horizontal="center"/>
    </xf>
    <xf numFmtId="9" fontId="13" fillId="21" borderId="0" xfId="1" applyFont="1" applyFill="1" applyAlignment="1">
      <alignment horizontal="center"/>
    </xf>
    <xf numFmtId="9" fontId="13" fillId="21" borderId="3" xfId="1" applyFont="1" applyFill="1" applyBorder="1" applyAlignment="1">
      <alignment horizontal="center"/>
    </xf>
    <xf numFmtId="3" fontId="13" fillId="21" borderId="20" xfId="0" applyNumberFormat="1" applyFont="1" applyFill="1" applyBorder="1" applyAlignment="1">
      <alignment horizontal="center"/>
    </xf>
    <xf numFmtId="0" fontId="13" fillId="21" borderId="3" xfId="0" applyFont="1" applyFill="1" applyBorder="1"/>
    <xf numFmtId="2" fontId="5" fillId="4" borderId="0" xfId="0" applyNumberFormat="1" applyFont="1" applyFill="1" applyBorder="1" applyAlignment="1">
      <alignment horizontal="center" vertical="center"/>
    </xf>
    <xf numFmtId="3" fontId="5" fillId="4" borderId="3" xfId="0" applyNumberFormat="1" applyFont="1" applyFill="1" applyBorder="1" applyAlignment="1">
      <alignment horizontal="center" vertical="center"/>
    </xf>
    <xf numFmtId="0" fontId="89" fillId="0" borderId="0" xfId="0" applyFont="1" applyAlignment="1"/>
    <xf numFmtId="0" fontId="100" fillId="0" borderId="30" xfId="0" applyFont="1" applyBorder="1"/>
    <xf numFmtId="0" fontId="100" fillId="0" borderId="31" xfId="0" applyFont="1" applyBorder="1"/>
    <xf numFmtId="0" fontId="101" fillId="0" borderId="32" xfId="0" applyFont="1" applyBorder="1"/>
    <xf numFmtId="0" fontId="0" fillId="0" borderId="0" xfId="0" applyBorder="1" applyProtection="1">
      <protection locked="0"/>
    </xf>
    <xf numFmtId="0" fontId="1" fillId="0" borderId="0" xfId="0" applyFont="1" applyBorder="1" applyProtection="1">
      <protection locked="0"/>
    </xf>
    <xf numFmtId="0" fontId="24" fillId="5" borderId="0" xfId="0" applyFont="1" applyFill="1"/>
    <xf numFmtId="0" fontId="24" fillId="5" borderId="0" xfId="0" applyFont="1" applyFill="1" applyAlignment="1">
      <alignment horizontal="center"/>
    </xf>
    <xf numFmtId="9" fontId="24" fillId="5" borderId="0" xfId="1" applyFont="1" applyFill="1" applyAlignment="1">
      <alignment horizontal="center"/>
    </xf>
    <xf numFmtId="9" fontId="24" fillId="5" borderId="0" xfId="0" applyNumberFormat="1" applyFont="1" applyFill="1" applyAlignment="1">
      <alignment horizontal="center"/>
    </xf>
    <xf numFmtId="2" fontId="0" fillId="0" borderId="0" xfId="0" applyNumberFormat="1"/>
    <xf numFmtId="4" fontId="5" fillId="21" borderId="0" xfId="0" applyNumberFormat="1" applyFont="1" applyFill="1" applyBorder="1" applyAlignment="1">
      <alignment horizontal="center" vertical="center"/>
    </xf>
    <xf numFmtId="0" fontId="71" fillId="0" borderId="0" xfId="0" applyFont="1" applyAlignment="1">
      <alignment horizontal="center"/>
    </xf>
    <xf numFmtId="0" fontId="5" fillId="5" borderId="0" xfId="0" applyFont="1" applyFill="1" applyBorder="1" applyAlignment="1">
      <alignment horizontal="right" vertical="center" wrapText="1"/>
    </xf>
    <xf numFmtId="0" fontId="51" fillId="5" borderId="2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3" fontId="29" fillId="7" borderId="4" xfId="0" applyNumberFormat="1" applyFont="1" applyFill="1" applyBorder="1" applyAlignment="1">
      <alignment horizontal="center"/>
    </xf>
    <xf numFmtId="3" fontId="29" fillId="7" borderId="5" xfId="0" applyNumberFormat="1" applyFont="1" applyFill="1" applyBorder="1" applyAlignment="1">
      <alignment horizontal="center"/>
    </xf>
    <xf numFmtId="3" fontId="29" fillId="7" borderId="23" xfId="0" applyNumberFormat="1" applyFont="1" applyFill="1" applyBorder="1" applyAlignment="1">
      <alignment horizontal="center"/>
    </xf>
    <xf numFmtId="3" fontId="29" fillId="7" borderId="24" xfId="0" applyNumberFormat="1" applyFont="1" applyFill="1" applyBorder="1" applyAlignment="1">
      <alignment horizontal="center"/>
    </xf>
    <xf numFmtId="168" fontId="7" fillId="12" borderId="3" xfId="0" applyNumberFormat="1" applyFont="1" applyFill="1" applyBorder="1" applyAlignment="1">
      <alignment horizontal="right" vertical="center"/>
    </xf>
    <xf numFmtId="168" fontId="23" fillId="12" borderId="3" xfId="0" applyNumberFormat="1" applyFont="1" applyFill="1" applyBorder="1" applyAlignment="1">
      <alignment horizontal="right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9" fontId="10" fillId="6" borderId="3" xfId="0" applyNumberFormat="1" applyFont="1" applyFill="1" applyBorder="1" applyAlignment="1">
      <alignment horizontal="center"/>
    </xf>
    <xf numFmtId="9" fontId="10" fillId="6" borderId="8" xfId="0" applyNumberFormat="1" applyFont="1" applyFill="1" applyBorder="1" applyAlignment="1">
      <alignment horizontal="center"/>
    </xf>
    <xf numFmtId="0" fontId="68" fillId="5" borderId="15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left"/>
    </xf>
    <xf numFmtId="0" fontId="16" fillId="4" borderId="14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left"/>
    </xf>
    <xf numFmtId="0" fontId="16" fillId="5" borderId="7" xfId="0" applyFont="1" applyFill="1" applyBorder="1" applyAlignment="1">
      <alignment horizontal="center" wrapText="1"/>
    </xf>
    <xf numFmtId="0" fontId="16" fillId="5" borderId="3" xfId="0" applyFont="1" applyFill="1" applyBorder="1" applyAlignment="1">
      <alignment horizontal="center" wrapText="1"/>
    </xf>
    <xf numFmtId="0" fontId="8" fillId="5" borderId="10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left"/>
    </xf>
    <xf numFmtId="0" fontId="16" fillId="4" borderId="8" xfId="0" applyFont="1" applyFill="1" applyBorder="1" applyAlignment="1">
      <alignment horizontal="left"/>
    </xf>
    <xf numFmtId="0" fontId="29" fillId="6" borderId="0" xfId="0" applyFont="1" applyFill="1" applyBorder="1" applyAlignment="1">
      <alignment horizontal="center"/>
    </xf>
    <xf numFmtId="0" fontId="58" fillId="6" borderId="0" xfId="0" applyFont="1" applyFill="1" applyBorder="1" applyAlignment="1">
      <alignment horizontal="center"/>
    </xf>
    <xf numFmtId="9" fontId="58" fillId="6" borderId="0" xfId="0" applyNumberFormat="1" applyFont="1" applyFill="1" applyBorder="1" applyAlignment="1">
      <alignment horizontal="center"/>
    </xf>
    <xf numFmtId="0" fontId="54" fillId="0" borderId="23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44" fillId="0" borderId="7" xfId="0" applyFont="1" applyBorder="1" applyAlignment="1">
      <alignment horizontal="center"/>
    </xf>
    <xf numFmtId="0" fontId="44" fillId="0" borderId="3" xfId="0" applyFont="1" applyBorder="1" applyAlignment="1">
      <alignment horizontal="center"/>
    </xf>
    <xf numFmtId="0" fontId="44" fillId="0" borderId="8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53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0" xfId="0" applyFont="1" applyBorder="1" applyAlignment="1">
      <alignment horizontal="left" vertical="top" indent="1"/>
    </xf>
    <xf numFmtId="0" fontId="33" fillId="0" borderId="26" xfId="0" applyFont="1" applyBorder="1" applyAlignment="1">
      <alignment horizontal="center"/>
    </xf>
    <xf numFmtId="0" fontId="97" fillId="20" borderId="51" xfId="0" applyFont="1" applyFill="1" applyBorder="1" applyAlignment="1">
      <alignment horizontal="center" vertical="center"/>
    </xf>
    <xf numFmtId="0" fontId="97" fillId="20" borderId="47" xfId="0" applyFont="1" applyFill="1" applyBorder="1" applyAlignment="1">
      <alignment horizontal="center" vertical="center"/>
    </xf>
    <xf numFmtId="0" fontId="92" fillId="18" borderId="0" xfId="0" applyFont="1" applyFill="1" applyBorder="1" applyAlignment="1">
      <alignment horizontal="center"/>
    </xf>
    <xf numFmtId="0" fontId="89" fillId="18" borderId="0" xfId="0" applyFont="1" applyFill="1" applyBorder="1" applyAlignment="1">
      <alignment horizontal="center"/>
    </xf>
    <xf numFmtId="3" fontId="92" fillId="18" borderId="0" xfId="0" applyNumberFormat="1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99" fillId="20" borderId="0" xfId="0" applyFont="1" applyFill="1" applyAlignment="1">
      <alignment horizontal="center"/>
    </xf>
    <xf numFmtId="0" fontId="88" fillId="0" borderId="0" xfId="0" applyFont="1" applyBorder="1" applyAlignment="1">
      <alignment horizontal="center" vertical="center"/>
    </xf>
    <xf numFmtId="0" fontId="87" fillId="0" borderId="0" xfId="0" applyFont="1" applyBorder="1" applyAlignment="1">
      <alignment horizontal="center"/>
    </xf>
    <xf numFmtId="0" fontId="99" fillId="20" borderId="0" xfId="0" applyFont="1" applyFill="1" applyBorder="1" applyAlignment="1">
      <alignment horizontal="center"/>
    </xf>
    <xf numFmtId="0" fontId="92" fillId="20" borderId="0" xfId="0" applyFont="1" applyFill="1" applyBorder="1" applyAlignment="1">
      <alignment horizontal="center"/>
    </xf>
    <xf numFmtId="0" fontId="89" fillId="20" borderId="0" xfId="0" applyFont="1" applyFill="1" applyBorder="1" applyAlignment="1">
      <alignment horizontal="center"/>
    </xf>
    <xf numFmtId="0" fontId="83" fillId="0" borderId="4" xfId="0" applyFont="1" applyBorder="1" applyAlignment="1">
      <alignment horizontal="center"/>
    </xf>
    <xf numFmtId="0" fontId="83" fillId="0" borderId="5" xfId="0" applyFont="1" applyBorder="1" applyAlignment="1">
      <alignment horizontal="center"/>
    </xf>
    <xf numFmtId="0" fontId="83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2" fillId="0" borderId="4" xfId="0" applyFont="1" applyBorder="1" applyAlignment="1">
      <alignment horizontal="center"/>
    </xf>
    <xf numFmtId="0" fontId="82" fillId="0" borderId="5" xfId="0" applyFont="1" applyBorder="1" applyAlignment="1">
      <alignment horizontal="center"/>
    </xf>
    <xf numFmtId="0" fontId="82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4" fillId="0" borderId="0" xfId="0" applyFont="1" applyFill="1" applyBorder="1" applyAlignment="1">
      <alignment horizontal="right" vertical="center" wrapText="1"/>
    </xf>
    <xf numFmtId="0" fontId="36" fillId="0" borderId="0" xfId="0" applyFont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8" borderId="1" xfId="0" applyFont="1" applyFill="1" applyBorder="1" applyAlignment="1">
      <alignment horizontal="center"/>
    </xf>
    <xf numFmtId="0" fontId="36" fillId="8" borderId="38" xfId="0" applyFont="1" applyFill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45" fillId="0" borderId="0" xfId="0" applyFont="1" applyAlignment="1">
      <alignment horizontal="center"/>
    </xf>
    <xf numFmtId="0" fontId="8" fillId="5" borderId="0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4">
    <cellStyle name="Millares" xfId="2" builtinId="3"/>
    <cellStyle name="Normal" xfId="0" builtinId="0"/>
    <cellStyle name="Porcentaje" xfId="1" builtinId="5"/>
    <cellStyle name="Texto explicativo" xfId="3" builtinId="5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'Planilla Análisis ( isapre)'!$E$138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'Planilla Análisis ( isapre)'!$F$138:$G$138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55-4A20-97EE-3118A027C245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'Planilla Análisis ( isapre)'!$F$137:$G$137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'Planilla Análisis ( isapre)'!$E$139</c:f>
              <c:strCache>
                <c:ptCount val="1"/>
                <c:pt idx="0">
                  <c:v>Propuesto</c:v>
                </c:pt>
              </c:strCache>
            </c:strRef>
          </c:tx>
          <c:invertIfNegative val="0"/>
          <c:val>
            <c:numRef>
              <c:f>'Planilla Análisis ( isapre)'!$F$139:$G$139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55-4A20-97EE-3118A027C245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'Planilla Análisis ( isapre)'!$F$137:$G$137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638336"/>
        <c:axId val="184431680"/>
        <c:axId val="165371904"/>
      </c:bar3DChart>
      <c:catAx>
        <c:axId val="162638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s-CL"/>
            </a:pPr>
            <a:endParaRPr lang="en-US"/>
          </a:p>
        </c:txPr>
        <c:crossAx val="184431680"/>
        <c:crosses val="autoZero"/>
        <c:auto val="1"/>
        <c:lblAlgn val="ctr"/>
        <c:lblOffset val="100"/>
        <c:noMultiLvlLbl val="0"/>
      </c:catAx>
      <c:valAx>
        <c:axId val="18443168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lang="es-CL"/>
            </a:pPr>
            <a:endParaRPr lang="en-US"/>
          </a:p>
        </c:txPr>
        <c:crossAx val="162638336"/>
        <c:crosses val="autoZero"/>
        <c:crossBetween val="between"/>
      </c:valAx>
      <c:serAx>
        <c:axId val="165371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s-CL"/>
            </a:pPr>
            <a:endParaRPr lang="en-US"/>
          </a:p>
        </c:txPr>
        <c:crossAx val="184431680"/>
        <c:crosses val="autoZero"/>
      </c:serAx>
    </c:plotArea>
    <c:legend>
      <c:legendPos val="r"/>
      <c:overlay val="0"/>
      <c:txPr>
        <a:bodyPr/>
        <a:lstStyle/>
        <a:p>
          <a:pPr>
            <a:defRPr lang="es-C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199" l="0.70000000000000095" r="0.70000000000000095" t="0.75000000000001199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Reembolso Consultas medicas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742052341195301"/>
          <c:y val="0.21337962962963"/>
          <c:w val="0.67027612834357897"/>
          <c:h val="0.4858729690016920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5B-4140-8F8E-63C23460EC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5B-4140-8F8E-63C23460EC7B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8E7A746-F570-4745-824E-44133D686113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D3569690-A856-4E18-B2B1-0251CE80AEA0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C5B-4140-8F8E-63C23460EC7B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045233-58E5-44BB-9977-14B9EFF9F3BC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5EFF1938-747C-4F88-BAFA-9CD9287B6D8A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6C5B-4140-8F8E-63C23460EC7B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Hoja3!$A$20:$B$20</c:f>
            </c:multiLvlStrRef>
          </c:cat>
          <c:val>
            <c:numRef>
              <c:f>Hoja3!$A$21:$B$21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C5B-4140-8F8E-63C23460EC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Reembolso Examenes + Imageneologia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250948141812401"/>
          <c:y val="0.21800925925925899"/>
          <c:w val="0.61438906428736095"/>
          <c:h val="0.4474068247129889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41-4721-8FB4-5B874DA676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41-4721-8FB4-5B874DA676B7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9B4F7F0-80C5-482E-A590-59AA05D29BDB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A3D115CC-76C5-4528-A7DA-23B38F6E70FF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941-4721-8FB4-5B874DA676B7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EBCED6-CD72-49D0-85C8-236337C6D885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47B8C800-A61A-4B4C-A47B-2F5DEBD40746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941-4721-8FB4-5B874DA676B7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Hoja3!$A$24:$B$24</c:f>
            </c:multiLvlStrRef>
          </c:cat>
          <c:val>
            <c:numRef>
              <c:f>Hoja3!$A$25:$B$25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941-4721-8FB4-5B874DA676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Rembolso Cirugia mayor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144-4A00-8712-4A21C1E61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144-4A00-8712-4A21C1E6122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0660776-BE7D-4B66-B30C-6E5F358FE88F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E9841A21-9066-4B35-9D40-341D309EA268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144-4A00-8712-4A21C1E61226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AA8D2F-1FDB-432B-9543-D6B325B8E3FC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4DBCEABF-C149-4553-AB1E-9A1F65934A8A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144-4A00-8712-4A21C1E61226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Hoja3!$A$68:$B$68</c:f>
            </c:multiLvlStrRef>
          </c:cat>
          <c:val>
            <c:numRef>
              <c:f>Hoja3!$A$69:$B$69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144-4A00-8712-4A21C1E6122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Reembolso Cirugia menor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903-491F-B335-9A2CD405EC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903-491F-B335-9A2CD405ECFE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F21F66B-6239-44D1-991F-39A75938A42D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111A29D1-9C69-46D2-A60F-0283F3BCD423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903-491F-B335-9A2CD405ECFE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B3224E5-31E1-4D4A-8B0A-EAAF78EAA8A9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B6583D0F-C1D4-4EDF-8C58-9A26807A8CBA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903-491F-B335-9A2CD405ECFE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Hoja3!$A$73:$B$73</c:f>
            </c:multiLvlStrRef>
          </c:cat>
          <c:val>
            <c:numRef>
              <c:f>Hoja3!$A$74:$B$74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903-491F-B335-9A2CD405EC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Reembolso Parto Normal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468-4D2E-B49E-A63D4E52CD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468-4D2E-B49E-A63D4E52CD21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50219CC-6DBB-479E-830C-E412FB8FFDD2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6D0B87CB-7909-44BF-B0D3-2D7D7FA1D7C2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468-4D2E-B49E-A63D4E52CD21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0A5157E-F57F-45D7-AADD-8C3F1B544378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5614AF4E-0028-4CEC-947F-1DF4553FA4CF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F468-4D2E-B49E-A63D4E52CD21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Hoja3!$A$77:$B$77</c:f>
            </c:multiLvlStrRef>
          </c:cat>
          <c:val>
            <c:numRef>
              <c:f>Hoja3!$A$78:$B$78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468-4D2E-B49E-A63D4E52CD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Reembolso Parto Cesarea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853-4736-B090-768B81EB15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853-4736-B090-768B81EB15F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2553988-6E6D-41A0-9B7A-6FA454F9BC6B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C4C4026F-B56C-41A5-8738-8B37F7404D6B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853-4736-B090-768B81EB15F4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49514ED-68C9-441A-8A2E-C418CA1A5E34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C12FC87B-0F32-4E8D-92E6-AEB7CB0F3253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853-4736-B090-768B81EB15F4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Hoja3!$A$81:$B$81</c:f>
            </c:multiLvlStrRef>
          </c:cat>
          <c:val>
            <c:numRef>
              <c:f>Hoja3!$A$82:$B$82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853-4736-B090-768B81EB15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Reembolso Cirugia mayor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292798909447401"/>
          <c:y val="0.24883609029817999"/>
          <c:w val="0.82698114496429798"/>
          <c:h val="0.530882950221140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BA1-4AD2-AE51-8180963D9B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BA1-4AD2-AE51-8180963D9B80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9263461-9AF5-4669-9502-9EE635C28B80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D7B8878A-9C62-475A-8A73-50C1F27BD78D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BA1-4AD2-AE51-8180963D9B80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91C989F-DE58-475B-AAEF-23C4DD156A9A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E6A901B7-BD6F-4FA4-80A2-46D3A89C8871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FBA1-4AD2-AE51-8180963D9B80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Hoja3!$A$85:$B$85</c:f>
            </c:multiLvlStrRef>
          </c:cat>
          <c:val>
            <c:numRef>
              <c:f>Hoja3!$A$86:$B$86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BA1-4AD2-AE51-8180963D9B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Reembolso Cirugia menor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092256848997793E-2"/>
          <c:y val="0.24960462167283701"/>
          <c:w val="0.83214923551654996"/>
          <c:h val="0.5349619211598519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A1B-4E57-8E03-DBD7662F05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A1B-4E57-8E03-DBD7662F05D7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3823390-634F-4D93-B877-936A0027C955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1902AF3A-C7B7-48B6-8899-C351CDB2AF71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A1B-4E57-8E03-DBD7662F05D7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AD8A1EA-DD58-45F1-BA5E-D7E422BEFD98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724A2F21-F5C6-47E9-B9F5-6E3D4F424C6D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A1B-4E57-8E03-DBD7662F05D7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Hoja3!$A$89:$B$89</c:f>
            </c:multiLvlStrRef>
          </c:cat>
          <c:val>
            <c:numRef>
              <c:f>Hoja3!$A$90:$B$90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A1B-4E57-8E03-DBD7662F05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Reembolso Parto Normal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173327090825495E-2"/>
          <c:y val="0.32557279014915003"/>
          <c:w val="0.865326863332748"/>
          <c:h val="0.600043169418432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7C1-49C0-A29B-128E28501F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7C1-49C0-A29B-128E28501F2F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2742BB7-8951-4622-BA32-239329F43508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228E1581-71C1-4EDC-8565-6474ACAB24FB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7C1-49C0-A29B-128E28501F2F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DE7A140-26B3-4006-8353-3142F8C209AF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62FA901C-AB64-461F-9923-AC6006F197FD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7C1-49C0-A29B-128E28501F2F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Hoja3!$A$93:$B$93</c:f>
            </c:multiLvlStrRef>
          </c:cat>
          <c:val>
            <c:numRef>
              <c:f>Hoja3!$A$94:$B$94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7C1-49C0-A29B-128E28501F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Reembolso Parto Cesarea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2228662682257703E-2"/>
          <c:y val="0.32557279014915003"/>
          <c:w val="0.86184764451422302"/>
          <c:h val="0.600043169418432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F7-45F6-A7D4-9A99FD7870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F7-45F6-A7D4-9A99FD787033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1B64723-D984-4898-9D98-F984821427E8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FDA07E58-F919-4063-8FF0-E3414372E22E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BF7-45F6-A7D4-9A99FD787033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66B3498-E654-4824-B3F2-CEAD00AEABC2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247DF35B-51B5-40B1-9670-62A1CB16FF63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5BF7-45F6-A7D4-9A99FD787033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Hoja3!$A$97:$B$97</c:f>
            </c:multiLvlStrRef>
          </c:cat>
          <c:val>
            <c:numRef>
              <c:f>Hoja3!$A$100:$B$100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F7-45F6-A7D4-9A99FD7870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685-4073-B98C-2D2D4612BE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685-4073-B98C-2D2D4612BE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685-4073-B98C-2D2D4612BE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685-4073-B98C-2D2D4612BE23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F9CB8F5-E719-425F-8565-630F11D8ED14}" type="CELLRANG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/>
                      <a:t>
</a:t>
                    </a:r>
                    <a:fld id="{B9E85B34-7C33-4539-8732-A42586359D48}" type="CATEGORYNAM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685-4073-B98C-2D2D4612BE23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480C718-4715-4D6D-B141-B46173E71DFB}" type="CELLRANG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/>
                      <a:t>
</a:t>
                    </a:r>
                    <a:fld id="{0FA931CC-5361-4CFB-8EAC-26318A8CC4C8}" type="CATEGORYNAM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685-4073-B98C-2D2D4612BE23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004E860-2B48-4C3D-9E5B-87D31BE2BAA3}" type="CELLRANG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/>
                      <a:t>
</a:t>
                    </a:r>
                    <a:fld id="{81AAFF86-7BA6-4AE8-84A2-90857A52F81C}" type="CATEGORYNAM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685-4073-B98C-2D2D4612BE23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60D40EB-4442-40CC-B63B-1167488DA407}" type="CELLRANG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/>
                      <a:t>
</a:t>
                    </a:r>
                    <a:fld id="{00E129C5-381B-489A-A6DD-78EE1EA95035}" type="CATEGORYNAM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0685-4073-B98C-2D2D4612BE23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'Planilla Análisis ( isapre)'!$G$181:$G$184</c:f>
              <c:strCache>
                <c:ptCount val="4"/>
                <c:pt idx="0">
                  <c:v>Consultas</c:v>
                </c:pt>
                <c:pt idx="1">
                  <c:v>Hospitalizacion</c:v>
                </c:pt>
                <c:pt idx="2">
                  <c:v>Examenes</c:v>
                </c:pt>
                <c:pt idx="3">
                  <c:v>Maternidad</c:v>
                </c:pt>
              </c:strCache>
            </c:strRef>
          </c:cat>
          <c:val>
            <c:numRef>
              <c:f>'Planilla Análisis ( isapre)'!$H$181:$H$184</c:f>
              <c:numCache>
                <c:formatCode>0%</c:formatCode>
                <c:ptCount val="4"/>
                <c:pt idx="0">
                  <c:v>0.8</c:v>
                </c:pt>
                <c:pt idx="1">
                  <c:v>0.78438320443310416</c:v>
                </c:pt>
                <c:pt idx="2">
                  <c:v>0.8</c:v>
                </c:pt>
                <c:pt idx="3">
                  <c:v>0.27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685-4073-B98C-2D2D4612BE23}"/>
            </c:ext>
            <c:ext xmlns:c15="http://schemas.microsoft.com/office/drawing/2012/chart" uri="{02D57815-91ED-43cb-92C2-25804820EDAC}">
              <c15:datalabelsRange>
                <c15:f>'Planilla Análisis ( isapre)'!$H$181:$H$184</c15:f>
                <c15:dlblRangeCache>
                  <c:ptCount val="4"/>
                  <c:pt idx="0">
                    <c:v>80%</c:v>
                  </c:pt>
                  <c:pt idx="1">
                    <c:v>78%</c:v>
                  </c:pt>
                  <c:pt idx="2">
                    <c:v>80%</c:v>
                  </c:pt>
                  <c:pt idx="3">
                    <c:v>27%</c:v>
                  </c:pt>
                </c15:dlblRangeCache>
              </c15:datalabelsRange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04C-4A5E-B82E-2CAD7E1FBE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4C-4A5E-B82E-2CAD7E1FB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04C-4A5E-B82E-2CAD7E1FBE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04C-4A5E-B82E-2CAD7E1FBEE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3CE2319-1EF2-4A09-903D-BC7B021BABF8}" type="CELLRANG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/>
                      <a:t>
</a:t>
                    </a:r>
                    <a:fld id="{233579EC-6AEC-4F30-9F58-0CE42EA09B20}" type="CATEGORYNAM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04C-4A5E-B82E-2CAD7E1FBEE5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06E4DA0-6736-471E-9D37-56497519EC8B}" type="CELLRANG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/>
                      <a:t>
</a:t>
                    </a:r>
                    <a:fld id="{C65404AF-C012-40AE-90CD-9D3D58ABCACA}" type="CATEGORYNAM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04C-4A5E-B82E-2CAD7E1FBEE5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758F38B-E470-45B9-ADBC-1B18699528A9}" type="CELLRANG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/>
                      <a:t>
</a:t>
                    </a:r>
                    <a:fld id="{12C66A0E-FC13-4F5C-A001-F5041DDBA53C}" type="CATEGORYNAM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C04C-4A5E-B82E-2CAD7E1FBEE5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9D55D5-A42F-4C82-B514-C8F5538D39B4}" type="CELLRANG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/>
                      <a:t>
</a:t>
                    </a:r>
                    <a:fld id="{26689AA2-CB82-46E1-8D01-FF3945098609}" type="CATEGORYNAM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C04C-4A5E-B82E-2CAD7E1FBEE5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'Planilla Análisis ( isapre)'!$E$181:$E$184</c:f>
              <c:strCache>
                <c:ptCount val="4"/>
                <c:pt idx="0">
                  <c:v>Consultas</c:v>
                </c:pt>
                <c:pt idx="1">
                  <c:v>Hospitalizacion</c:v>
                </c:pt>
                <c:pt idx="2">
                  <c:v>Examenes</c:v>
                </c:pt>
                <c:pt idx="3">
                  <c:v>Maternidad</c:v>
                </c:pt>
              </c:strCache>
            </c:strRef>
          </c:cat>
          <c:val>
            <c:numRef>
              <c:f>'Planilla Análisis ( isapre)'!$F$181:$F$184</c:f>
              <c:numCache>
                <c:formatCode>0%</c:formatCode>
                <c:ptCount val="4"/>
                <c:pt idx="0">
                  <c:v>0.9</c:v>
                </c:pt>
                <c:pt idx="1">
                  <c:v>0.7124399652890826</c:v>
                </c:pt>
                <c:pt idx="2">
                  <c:v>0.63635977022128953</c:v>
                </c:pt>
                <c:pt idx="3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04C-4A5E-B82E-2CAD7E1FBEE5}"/>
            </c:ext>
            <c:ext xmlns:c15="http://schemas.microsoft.com/office/drawing/2012/chart" uri="{02D57815-91ED-43cb-92C2-25804820EDAC}">
              <c15:datalabelsRange>
                <c15:f>'Planilla Análisis ( isapre)'!$F$181:$F$184</c15:f>
                <c15:dlblRangeCache>
                  <c:ptCount val="4"/>
                  <c:pt idx="0">
                    <c:v>31%</c:v>
                  </c:pt>
                  <c:pt idx="1">
                    <c:v>37%</c:v>
                  </c:pt>
                  <c:pt idx="2">
                    <c:v>31%</c:v>
                  </c:pt>
                  <c:pt idx="3">
                    <c:v>25%</c:v>
                  </c:pt>
                </c15:dlblRangeCache>
              </c15:datalabelsRange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V1'!$J$73</c:f>
              <c:strCache>
                <c:ptCount val="1"/>
                <c:pt idx="0">
                  <c:v>% Cobertura</c:v>
                </c:pt>
              </c:strCache>
            </c:strRef>
          </c:tx>
          <c:invertIfNegative val="0"/>
          <c:cat>
            <c:strRef>
              <c:f>'Reporte V1'!$I$74:$I$75</c:f>
              <c:strCache>
                <c:ptCount val="2"/>
                <c:pt idx="0">
                  <c:v>Plan Actual</c:v>
                </c:pt>
                <c:pt idx="1">
                  <c:v>Plan sugerido </c:v>
                </c:pt>
              </c:strCache>
            </c:strRef>
          </c:cat>
          <c:val>
            <c:numRef>
              <c:f>'Reporte V1'!$J$74:$J$75</c:f>
              <c:numCache>
                <c:formatCode>0.00%</c:formatCode>
                <c:ptCount val="2"/>
                <c:pt idx="0" formatCode="0.0%">
                  <c:v>0.73381912084228729</c:v>
                </c:pt>
                <c:pt idx="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52-4455-B5D2-F09118E6F01E}"/>
            </c:ext>
          </c:extLst>
        </c:ser>
        <c:ser>
          <c:idx val="1"/>
          <c:order val="1"/>
          <c:tx>
            <c:strRef>
              <c:f>'Reporte V1'!$K$73</c:f>
              <c:strCache>
                <c:ptCount val="1"/>
                <c:pt idx="0">
                  <c:v>% Faltante</c:v>
                </c:pt>
              </c:strCache>
            </c:strRef>
          </c:tx>
          <c:invertIfNegative val="0"/>
          <c:cat>
            <c:strRef>
              <c:f>'Reporte V1'!$I$74:$I$75</c:f>
              <c:strCache>
                <c:ptCount val="2"/>
                <c:pt idx="0">
                  <c:v>Plan Actual</c:v>
                </c:pt>
                <c:pt idx="1">
                  <c:v>Plan sugerido </c:v>
                </c:pt>
              </c:strCache>
            </c:strRef>
          </c:cat>
          <c:val>
            <c:numRef>
              <c:f>'Reporte V1'!$K$74:$K$75</c:f>
              <c:numCache>
                <c:formatCode>0.0%</c:formatCode>
                <c:ptCount val="2"/>
                <c:pt idx="0">
                  <c:v>0.26618087915771271</c:v>
                </c:pt>
                <c:pt idx="1">
                  <c:v>0.19999999999999996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C52-4455-B5D2-F09118E6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62639360"/>
        <c:axId val="186329344"/>
        <c:axId val="0"/>
      </c:bar3DChart>
      <c:catAx>
        <c:axId val="16263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CL"/>
            </a:pPr>
            <a:endParaRPr lang="en-US"/>
          </a:p>
        </c:txPr>
        <c:crossAx val="186329344"/>
        <c:crosses val="autoZero"/>
        <c:auto val="1"/>
        <c:lblAlgn val="ctr"/>
        <c:lblOffset val="100"/>
        <c:noMultiLvlLbl val="0"/>
      </c:catAx>
      <c:valAx>
        <c:axId val="18632934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lang="es-CL"/>
            </a:pPr>
            <a:endParaRPr lang="en-US"/>
          </a:p>
        </c:txPr>
        <c:crossAx val="1626393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C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199" l="0.70000000000000095" r="0.70000000000000095" t="0.75000000000001199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V1'!$C$73</c:f>
              <c:strCache>
                <c:ptCount val="1"/>
                <c:pt idx="0">
                  <c:v>% Cobertura</c:v>
                </c:pt>
              </c:strCache>
            </c:strRef>
          </c:tx>
          <c:invertIfNegative val="0"/>
          <c:cat>
            <c:strRef>
              <c:f>'Reporte V1'!$B$74:$B$75</c:f>
              <c:strCache>
                <c:ptCount val="2"/>
                <c:pt idx="0">
                  <c:v>Plan Actual</c:v>
                </c:pt>
                <c:pt idx="1">
                  <c:v>Plan sugerido </c:v>
                </c:pt>
              </c:strCache>
            </c:strRef>
          </c:cat>
          <c:val>
            <c:numRef>
              <c:f>'Reporte V1'!$C$74:$C$75</c:f>
              <c:numCache>
                <c:formatCode>0.00%</c:formatCode>
                <c:ptCount val="2"/>
                <c:pt idx="0" formatCode="0.0%">
                  <c:v>0.7124399652890826</c:v>
                </c:pt>
                <c:pt idx="1">
                  <c:v>0.78438320443310416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C9-4AB5-8515-978DDAD3945E}"/>
            </c:ext>
          </c:extLst>
        </c:ser>
        <c:ser>
          <c:idx val="1"/>
          <c:order val="1"/>
          <c:tx>
            <c:strRef>
              <c:f>'Reporte V1'!$D$73</c:f>
              <c:strCache>
                <c:ptCount val="1"/>
                <c:pt idx="0">
                  <c:v>% Faltante</c:v>
                </c:pt>
              </c:strCache>
            </c:strRef>
          </c:tx>
          <c:invertIfNegative val="0"/>
          <c:cat>
            <c:strRef>
              <c:f>'Reporte V1'!$B$74:$B$75</c:f>
              <c:strCache>
                <c:ptCount val="2"/>
                <c:pt idx="0">
                  <c:v>Plan Actual</c:v>
                </c:pt>
                <c:pt idx="1">
                  <c:v>Plan sugerido </c:v>
                </c:pt>
              </c:strCache>
            </c:strRef>
          </c:cat>
          <c:val>
            <c:numRef>
              <c:f>'Reporte V1'!$D$74:$D$75</c:f>
              <c:numCache>
                <c:formatCode>0.0%</c:formatCode>
                <c:ptCount val="2"/>
                <c:pt idx="0">
                  <c:v>0.2875600347109174</c:v>
                </c:pt>
                <c:pt idx="1">
                  <c:v>0.21561679556689584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C9-4AB5-8515-978DDAD3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85004032"/>
        <c:axId val="186331648"/>
        <c:axId val="0"/>
      </c:bar3DChart>
      <c:catAx>
        <c:axId val="18500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CL"/>
            </a:pPr>
            <a:endParaRPr lang="en-US"/>
          </a:p>
        </c:txPr>
        <c:crossAx val="186331648"/>
        <c:crosses val="autoZero"/>
        <c:auto val="1"/>
        <c:lblAlgn val="ctr"/>
        <c:lblOffset val="100"/>
        <c:noMultiLvlLbl val="0"/>
      </c:catAx>
      <c:valAx>
        <c:axId val="18633164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lang="es-CL"/>
            </a:pPr>
            <a:endParaRPr lang="en-US"/>
          </a:p>
        </c:txPr>
        <c:crossAx val="1850040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C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199" l="0.70000000000000095" r="0.70000000000000095" t="0.75000000000001199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900" b="1" i="0" u="sng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900" u="sng"/>
              <a:t>Cobertura</a:t>
            </a:r>
            <a:r>
              <a:rPr lang="es-ES" sz="900" u="sng" baseline="0"/>
              <a:t> plan ACTUAL</a:t>
            </a:r>
            <a:endParaRPr lang="es-ES" sz="900" u="sng"/>
          </a:p>
        </c:rich>
      </c:tx>
      <c:layout>
        <c:manualLayout>
          <c:xMode val="edge"/>
          <c:yMode val="edge"/>
          <c:x val="0.27613627841974298"/>
          <c:y val="5.303030303030299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F64-440B-8E24-043329DA26E8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F64-440B-8E24-043329DA26E8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F64-440B-8E24-043329DA26E8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F64-440B-8E24-043329DA26E8}"/>
              </c:ext>
            </c:extLst>
          </c:dPt>
          <c:dLbls>
            <c:dLbl>
              <c:idx val="0"/>
              <c:layout>
                <c:manualLayout>
                  <c:x val="6.3203463203463206E-2"/>
                  <c:y val="-1.80527168146534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7.6190476190476197E-2"/>
                  <c:y val="-3.64282124308929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0519480519480519E-2"/>
                  <c:y val="1.8536326576199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2100828305552737E-2"/>
                  <c:y val="5.889875467694197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'Planilla Análisis ( isapre)'!$E$181:$E$184</c:f>
              <c:strCache>
                <c:ptCount val="4"/>
                <c:pt idx="0">
                  <c:v>Consultas</c:v>
                </c:pt>
                <c:pt idx="1">
                  <c:v>Hospitalizacion</c:v>
                </c:pt>
                <c:pt idx="2">
                  <c:v>Examenes</c:v>
                </c:pt>
                <c:pt idx="3">
                  <c:v>Maternidad</c:v>
                </c:pt>
              </c:strCache>
            </c:strRef>
          </c:cat>
          <c:val>
            <c:numRef>
              <c:f>'Planilla Análisis ( isapre)'!$F$181:$F$184</c:f>
              <c:numCache>
                <c:formatCode>0%</c:formatCode>
                <c:ptCount val="4"/>
                <c:pt idx="0">
                  <c:v>0.9</c:v>
                </c:pt>
                <c:pt idx="1">
                  <c:v>0.7124399652890826</c:v>
                </c:pt>
                <c:pt idx="2">
                  <c:v>0.63635977022128953</c:v>
                </c:pt>
                <c:pt idx="3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F64-440B-8E24-043329DA26E8}"/>
            </c:ext>
            <c:ext xmlns:c15="http://schemas.microsoft.com/office/drawing/2012/chart" uri="{02D57815-91ED-43cb-92C2-25804820EDAC}">
              <c15:datalabelsRange>
                <c15:f>'Planilla Análisis ( isapre)'!$F$181:$F$184</c15:f>
                <c15:dlblRangeCache>
                  <c:ptCount val="4"/>
                  <c:pt idx="0">
                    <c:v>31%</c:v>
                  </c:pt>
                  <c:pt idx="1">
                    <c:v>37%</c:v>
                  </c:pt>
                  <c:pt idx="2">
                    <c:v>31%</c:v>
                  </c:pt>
                  <c:pt idx="3">
                    <c:v>25%</c:v>
                  </c:pt>
                </c15:dlblRangeCache>
              </c15:datalabelsRange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sng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900" u="sng"/>
              <a:t>Cobertura</a:t>
            </a:r>
            <a:r>
              <a:rPr lang="es-ES" sz="900" u="sng" baseline="0"/>
              <a:t> plan recomendado</a:t>
            </a:r>
            <a:endParaRPr lang="es-ES" sz="900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405-4DBD-BD43-C8F44875BDC4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405-4DBD-BD43-C8F44875BDC4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405-4DBD-BD43-C8F44875BDC4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405-4DBD-BD43-C8F44875BDC4}"/>
              </c:ext>
            </c:extLst>
          </c:dPt>
          <c:dLbls>
            <c:dLbl>
              <c:idx val="0"/>
              <c:layout>
                <c:manualLayout>
                  <c:x val="8.4128112757322196E-2"/>
                  <c:y val="-7.99731157021940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13570805785384465"/>
                  <c:y val="-2.25987690403328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4724919093851127E-2"/>
                  <c:y val="0.15819209039548024"/>
                </c:manualLayout>
              </c:layout>
              <c:spPr/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5845466698062308"/>
                  <c:y val="6.0263397086064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'Planilla Análisis ( isapre)'!$G$181:$G$184</c:f>
              <c:strCache>
                <c:ptCount val="4"/>
                <c:pt idx="0">
                  <c:v>Consultas</c:v>
                </c:pt>
                <c:pt idx="1">
                  <c:v>Hospitalizacion</c:v>
                </c:pt>
                <c:pt idx="2">
                  <c:v>Examenes</c:v>
                </c:pt>
                <c:pt idx="3">
                  <c:v>Maternidad</c:v>
                </c:pt>
              </c:strCache>
            </c:strRef>
          </c:cat>
          <c:val>
            <c:numRef>
              <c:f>'Planilla Análisis ( isapre)'!$H$181:$H$184</c:f>
              <c:numCache>
                <c:formatCode>0%</c:formatCode>
                <c:ptCount val="4"/>
                <c:pt idx="0">
                  <c:v>0.8</c:v>
                </c:pt>
                <c:pt idx="1">
                  <c:v>0.78438320443310416</c:v>
                </c:pt>
                <c:pt idx="2">
                  <c:v>0.8</c:v>
                </c:pt>
                <c:pt idx="3">
                  <c:v>0.27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405-4DBD-BD43-C8F44875BDC4}"/>
            </c:ext>
            <c:ext xmlns:c15="http://schemas.microsoft.com/office/drawing/2012/chart" uri="{02D57815-91ED-43cb-92C2-25804820EDAC}">
              <c15:datalabelsRange>
                <c15:f>'Planilla Análisis ( isapre)'!$H$181:$H$184</c15:f>
                <c15:dlblRangeCache>
                  <c:ptCount val="4"/>
                  <c:pt idx="0">
                    <c:v>80%</c:v>
                  </c:pt>
                  <c:pt idx="1">
                    <c:v>78%</c:v>
                  </c:pt>
                  <c:pt idx="2">
                    <c:v>80%</c:v>
                  </c:pt>
                  <c:pt idx="3">
                    <c:v>27%</c:v>
                  </c:pt>
                </c15:dlblRangeCache>
              </c15:datalabelsRange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Reembolso Consultas medicas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B23-4160-901D-F4A8CB8EE0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B23-4160-901D-F4A8CB8EE0EF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EBDA0B-4E72-4E64-9041-B95F17631850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E540CB28-4E54-4AC8-A853-ADEF4B22923D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B23-4160-901D-F4A8CB8EE0EF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71BF7CE-BF81-4292-B4B6-868B2B6AE4A8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A84B41F2-917C-4782-A3BE-80DAF7C9CCB4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6B23-4160-901D-F4A8CB8EE0EF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Hoja3!$G$15:$H$15</c:f>
              <c:strCache>
                <c:ptCount val="2"/>
                <c:pt idx="0">
                  <c:v>Valor Prest. $</c:v>
                </c:pt>
                <c:pt idx="1">
                  <c:v>Reemb. $</c:v>
                </c:pt>
              </c:strCache>
            </c:strRef>
          </c:cat>
          <c:val>
            <c:numRef>
              <c:f>Hoja3!$G$16:$H$16</c:f>
              <c:numCache>
                <c:formatCode>#,##0</c:formatCode>
                <c:ptCount val="2"/>
                <c:pt idx="0">
                  <c:v>392326</c:v>
                </c:pt>
                <c:pt idx="1">
                  <c:v>347938.2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B23-4160-901D-F4A8CB8EE0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Reembolso Examenes + Imageneologia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32635249001636801"/>
          <c:w val="1"/>
          <c:h val="0.5060707102496320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143-4E30-9B4E-DB49718732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143-4E30-9B4E-DB4971873260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5FB0B5-5307-4008-86FD-3B688B4C86AC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797719D4-B501-4F06-B722-6B8275AD622F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143-4E30-9B4E-DB4971873260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86B885-8BD2-48A4-8672-54C298AE1CA3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EBA4BF80-0930-46D9-9FA8-16AA43D9091D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143-4E30-9B4E-DB4971873260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Hoja3!$A$14:$B$14</c:f>
            </c:multiLvlStrRef>
          </c:cat>
          <c:val>
            <c:numRef>
              <c:f>Hoja3!$A$15:$B$15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143-4E30-9B4E-DB49718732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vitasaludconsultor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30</xdr:row>
      <xdr:rowOff>133350</xdr:rowOff>
    </xdr:from>
    <xdr:to>
      <xdr:col>6</xdr:col>
      <xdr:colOff>638175</xdr:colOff>
      <xdr:row>30</xdr:row>
      <xdr:rowOff>133350</xdr:rowOff>
    </xdr:to>
    <xdr:cxnSp macro="">
      <xdr:nvCxnSpPr>
        <xdr:cNvPr id="3" name="2 Conector recto de flecha"/>
        <xdr:cNvCxnSpPr/>
      </xdr:nvCxnSpPr>
      <xdr:spPr>
        <a:xfrm>
          <a:off x="1676400" y="4010025"/>
          <a:ext cx="35337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50</xdr:row>
      <xdr:rowOff>133350</xdr:rowOff>
    </xdr:from>
    <xdr:to>
      <xdr:col>7</xdr:col>
      <xdr:colOff>9525</xdr:colOff>
      <xdr:row>51</xdr:row>
      <xdr:rowOff>9525</xdr:rowOff>
    </xdr:to>
    <xdr:cxnSp macro="">
      <xdr:nvCxnSpPr>
        <xdr:cNvPr id="5" name="4 Conector recto de flecha"/>
        <xdr:cNvCxnSpPr/>
      </xdr:nvCxnSpPr>
      <xdr:spPr>
        <a:xfrm flipV="1">
          <a:off x="1781175" y="6867525"/>
          <a:ext cx="35623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64</xdr:row>
      <xdr:rowOff>0</xdr:rowOff>
    </xdr:from>
    <xdr:to>
      <xdr:col>6</xdr:col>
      <xdr:colOff>628650</xdr:colOff>
      <xdr:row>64</xdr:row>
      <xdr:rowOff>0</xdr:rowOff>
    </xdr:to>
    <xdr:cxnSp macro="">
      <xdr:nvCxnSpPr>
        <xdr:cNvPr id="7" name="6 Conector recto de flecha"/>
        <xdr:cNvCxnSpPr/>
      </xdr:nvCxnSpPr>
      <xdr:spPr>
        <a:xfrm>
          <a:off x="1685925" y="8734425"/>
          <a:ext cx="35147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78</xdr:row>
      <xdr:rowOff>19050</xdr:rowOff>
    </xdr:from>
    <xdr:to>
      <xdr:col>6</xdr:col>
      <xdr:colOff>666750</xdr:colOff>
      <xdr:row>78</xdr:row>
      <xdr:rowOff>19050</xdr:rowOff>
    </xdr:to>
    <xdr:cxnSp macro="">
      <xdr:nvCxnSpPr>
        <xdr:cNvPr id="9" name="8 Conector recto de flecha"/>
        <xdr:cNvCxnSpPr/>
      </xdr:nvCxnSpPr>
      <xdr:spPr>
        <a:xfrm>
          <a:off x="1657350" y="10753725"/>
          <a:ext cx="3581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85</xdr:row>
      <xdr:rowOff>133350</xdr:rowOff>
    </xdr:from>
    <xdr:to>
      <xdr:col>6</xdr:col>
      <xdr:colOff>733425</xdr:colOff>
      <xdr:row>85</xdr:row>
      <xdr:rowOff>133350</xdr:rowOff>
    </xdr:to>
    <xdr:cxnSp macro="">
      <xdr:nvCxnSpPr>
        <xdr:cNvPr id="11" name="10 Conector recto de flecha"/>
        <xdr:cNvCxnSpPr/>
      </xdr:nvCxnSpPr>
      <xdr:spPr>
        <a:xfrm>
          <a:off x="1533525" y="11868150"/>
          <a:ext cx="37719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144</xdr:row>
      <xdr:rowOff>0</xdr:rowOff>
    </xdr:from>
    <xdr:to>
      <xdr:col>9</xdr:col>
      <xdr:colOff>352425</xdr:colOff>
      <xdr:row>163</xdr:row>
      <xdr:rowOff>28575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333375</xdr:colOff>
      <xdr:row>115</xdr:row>
      <xdr:rowOff>19050</xdr:rowOff>
    </xdr:from>
    <xdr:to>
      <xdr:col>14</xdr:col>
      <xdr:colOff>333375</xdr:colOff>
      <xdr:row>119</xdr:row>
      <xdr:rowOff>57150</xdr:rowOff>
    </xdr:to>
    <xdr:cxnSp macro="">
      <xdr:nvCxnSpPr>
        <xdr:cNvPr id="10" name="9 Conector recto de flecha"/>
        <xdr:cNvCxnSpPr/>
      </xdr:nvCxnSpPr>
      <xdr:spPr>
        <a:xfrm>
          <a:off x="8029575" y="15297150"/>
          <a:ext cx="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361950</xdr:colOff>
      <xdr:row>125</xdr:row>
      <xdr:rowOff>19050</xdr:rowOff>
    </xdr:from>
    <xdr:to>
      <xdr:col>14</xdr:col>
      <xdr:colOff>361950</xdr:colOff>
      <xdr:row>129</xdr:row>
      <xdr:rowOff>57150</xdr:rowOff>
    </xdr:to>
    <xdr:cxnSp macro="">
      <xdr:nvCxnSpPr>
        <xdr:cNvPr id="12" name="11 Conector recto de flecha"/>
        <xdr:cNvCxnSpPr/>
      </xdr:nvCxnSpPr>
      <xdr:spPr>
        <a:xfrm>
          <a:off x="8058150" y="16744950"/>
          <a:ext cx="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457200</xdr:colOff>
      <xdr:row>2</xdr:row>
      <xdr:rowOff>66675</xdr:rowOff>
    </xdr:from>
    <xdr:to>
      <xdr:col>1</xdr:col>
      <xdr:colOff>1343025</xdr:colOff>
      <xdr:row>7</xdr:row>
      <xdr:rowOff>177038</xdr:rowOff>
    </xdr:to>
    <xdr:pic>
      <xdr:nvPicPr>
        <xdr:cNvPr id="13" name="Picture 1" descr="Resultado de imagen para imagenes checklis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28725" y="66675"/>
          <a:ext cx="885825" cy="881888"/>
        </a:xfrm>
        <a:prstGeom prst="rect">
          <a:avLst/>
        </a:prstGeom>
        <a:noFill/>
      </xdr:spPr>
    </xdr:pic>
    <xdr:clientData/>
  </xdr:twoCellAnchor>
  <xdr:twoCellAnchor>
    <xdr:from>
      <xdr:col>1</xdr:col>
      <xdr:colOff>1504950</xdr:colOff>
      <xdr:row>121</xdr:row>
      <xdr:rowOff>85725</xdr:rowOff>
    </xdr:from>
    <xdr:to>
      <xdr:col>6</xdr:col>
      <xdr:colOff>476250</xdr:colOff>
      <xdr:row>121</xdr:row>
      <xdr:rowOff>85725</xdr:rowOff>
    </xdr:to>
    <xdr:cxnSp macro="">
      <xdr:nvCxnSpPr>
        <xdr:cNvPr id="16" name="15 Conector recto de flecha"/>
        <xdr:cNvCxnSpPr/>
      </xdr:nvCxnSpPr>
      <xdr:spPr>
        <a:xfrm>
          <a:off x="2276475" y="17792700"/>
          <a:ext cx="26574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1524000</xdr:colOff>
      <xdr:row>131</xdr:row>
      <xdr:rowOff>95250</xdr:rowOff>
    </xdr:from>
    <xdr:to>
      <xdr:col>6</xdr:col>
      <xdr:colOff>495300</xdr:colOff>
      <xdr:row>131</xdr:row>
      <xdr:rowOff>95250</xdr:rowOff>
    </xdr:to>
    <xdr:cxnSp macro="">
      <xdr:nvCxnSpPr>
        <xdr:cNvPr id="17" name="16 Conector recto de flecha"/>
        <xdr:cNvCxnSpPr/>
      </xdr:nvCxnSpPr>
      <xdr:spPr>
        <a:xfrm>
          <a:off x="2295525" y="19259550"/>
          <a:ext cx="26574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409576</xdr:colOff>
      <xdr:row>186</xdr:row>
      <xdr:rowOff>97156</xdr:rowOff>
    </xdr:from>
    <xdr:to>
      <xdr:col>0</xdr:col>
      <xdr:colOff>600075</xdr:colOff>
      <xdr:row>187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414337</xdr:colOff>
      <xdr:row>185</xdr:row>
      <xdr:rowOff>100012</xdr:rowOff>
    </xdr:from>
    <xdr:to>
      <xdr:col>0</xdr:col>
      <xdr:colOff>561975</xdr:colOff>
      <xdr:row>186</xdr:row>
      <xdr:rowOff>38100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77</xdr:row>
      <xdr:rowOff>142875</xdr:rowOff>
    </xdr:from>
    <xdr:to>
      <xdr:col>13</xdr:col>
      <xdr:colOff>295275</xdr:colOff>
      <xdr:row>90</xdr:row>
      <xdr:rowOff>142875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428624</xdr:colOff>
      <xdr:row>77</xdr:row>
      <xdr:rowOff>142875</xdr:rowOff>
    </xdr:from>
    <xdr:to>
      <xdr:col>6</xdr:col>
      <xdr:colOff>380999</xdr:colOff>
      <xdr:row>90</xdr:row>
      <xdr:rowOff>142875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180975</xdr:colOff>
      <xdr:row>6</xdr:row>
      <xdr:rowOff>123825</xdr:rowOff>
    </xdr:from>
    <xdr:to>
      <xdr:col>4</xdr:col>
      <xdr:colOff>495300</xdr:colOff>
      <xdr:row>8</xdr:row>
      <xdr:rowOff>38100</xdr:rowOff>
    </xdr:to>
    <xdr:sp macro="" textlink="">
      <xdr:nvSpPr>
        <xdr:cNvPr id="12" name="11 Rectángulo redondeado"/>
        <xdr:cNvSpPr/>
      </xdr:nvSpPr>
      <xdr:spPr>
        <a:xfrm>
          <a:off x="1704975" y="1057275"/>
          <a:ext cx="1838325" cy="2286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3</xdr:col>
      <xdr:colOff>676275</xdr:colOff>
      <xdr:row>21</xdr:row>
      <xdr:rowOff>9525</xdr:rowOff>
    </xdr:from>
    <xdr:to>
      <xdr:col>5</xdr:col>
      <xdr:colOff>161925</xdr:colOff>
      <xdr:row>27</xdr:row>
      <xdr:rowOff>66675</xdr:rowOff>
    </xdr:to>
    <xdr:sp macro="" textlink="">
      <xdr:nvSpPr>
        <xdr:cNvPr id="10" name="9 Rectángulo redondeado"/>
        <xdr:cNvSpPr/>
      </xdr:nvSpPr>
      <xdr:spPr>
        <a:xfrm>
          <a:off x="2962275" y="3286125"/>
          <a:ext cx="1009650" cy="81915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 editAs="oneCell">
    <xdr:from>
      <xdr:col>6</xdr:col>
      <xdr:colOff>333375</xdr:colOff>
      <xdr:row>7</xdr:row>
      <xdr:rowOff>28575</xdr:rowOff>
    </xdr:from>
    <xdr:to>
      <xdr:col>9</xdr:col>
      <xdr:colOff>190500</xdr:colOff>
      <xdr:row>21</xdr:row>
      <xdr:rowOff>9525</xdr:rowOff>
    </xdr:to>
    <xdr:pic>
      <xdr:nvPicPr>
        <xdr:cNvPr id="1025" name="Picture 1" descr="Resultado de imagen para imagenes checkli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905375" y="1114425"/>
          <a:ext cx="2143125" cy="21336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38100</xdr:colOff>
      <xdr:row>46</xdr:row>
      <xdr:rowOff>47624</xdr:rowOff>
    </xdr:from>
    <xdr:to>
      <xdr:col>1</xdr:col>
      <xdr:colOff>752476</xdr:colOff>
      <xdr:row>53</xdr:row>
      <xdr:rowOff>19049</xdr:rowOff>
    </xdr:to>
    <xdr:sp macro="" textlink="">
      <xdr:nvSpPr>
        <xdr:cNvPr id="11" name="10 Rectángulo redondeado"/>
        <xdr:cNvSpPr/>
      </xdr:nvSpPr>
      <xdr:spPr>
        <a:xfrm>
          <a:off x="800100" y="6838949"/>
          <a:ext cx="714376" cy="10382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1</xdr:col>
      <xdr:colOff>742950</xdr:colOff>
      <xdr:row>97</xdr:row>
      <xdr:rowOff>0</xdr:rowOff>
    </xdr:from>
    <xdr:to>
      <xdr:col>6</xdr:col>
      <xdr:colOff>19050</xdr:colOff>
      <xdr:row>100</xdr:row>
      <xdr:rowOff>142875</xdr:rowOff>
    </xdr:to>
    <xdr:sp macro="" textlink="">
      <xdr:nvSpPr>
        <xdr:cNvPr id="13" name="12 Rectángulo redondeado"/>
        <xdr:cNvSpPr/>
      </xdr:nvSpPr>
      <xdr:spPr>
        <a:xfrm>
          <a:off x="1504950" y="15506699"/>
          <a:ext cx="3238500" cy="723901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7</xdr:col>
      <xdr:colOff>742950</xdr:colOff>
      <xdr:row>96</xdr:row>
      <xdr:rowOff>142875</xdr:rowOff>
    </xdr:from>
    <xdr:to>
      <xdr:col>11</xdr:col>
      <xdr:colOff>28575</xdr:colOff>
      <xdr:row>101</xdr:row>
      <xdr:rowOff>38100</xdr:rowOff>
    </xdr:to>
    <xdr:sp macro="" textlink="">
      <xdr:nvSpPr>
        <xdr:cNvPr id="16" name="12 Rectángulo redondeado"/>
        <xdr:cNvSpPr/>
      </xdr:nvSpPr>
      <xdr:spPr>
        <a:xfrm>
          <a:off x="6229350" y="14716125"/>
          <a:ext cx="2333625" cy="6858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7</xdr:col>
      <xdr:colOff>742950</xdr:colOff>
      <xdr:row>101</xdr:row>
      <xdr:rowOff>142875</xdr:rowOff>
    </xdr:from>
    <xdr:to>
      <xdr:col>11</xdr:col>
      <xdr:colOff>28575</xdr:colOff>
      <xdr:row>106</xdr:row>
      <xdr:rowOff>38100</xdr:rowOff>
    </xdr:to>
    <xdr:sp macro="" textlink="">
      <xdr:nvSpPr>
        <xdr:cNvPr id="18" name="12 Rectángulo redondeado"/>
        <xdr:cNvSpPr/>
      </xdr:nvSpPr>
      <xdr:spPr>
        <a:xfrm>
          <a:off x="6229350" y="14716125"/>
          <a:ext cx="2333625" cy="6858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7</xdr:col>
      <xdr:colOff>742950</xdr:colOff>
      <xdr:row>101</xdr:row>
      <xdr:rowOff>142875</xdr:rowOff>
    </xdr:from>
    <xdr:to>
      <xdr:col>11</xdr:col>
      <xdr:colOff>28575</xdr:colOff>
      <xdr:row>106</xdr:row>
      <xdr:rowOff>38100</xdr:rowOff>
    </xdr:to>
    <xdr:sp macro="" textlink="">
      <xdr:nvSpPr>
        <xdr:cNvPr id="19" name="12 Rectángulo redondeado"/>
        <xdr:cNvSpPr/>
      </xdr:nvSpPr>
      <xdr:spPr>
        <a:xfrm>
          <a:off x="6229350" y="14716125"/>
          <a:ext cx="2333625" cy="6858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8</xdr:col>
      <xdr:colOff>761999</xdr:colOff>
      <xdr:row>2</xdr:row>
      <xdr:rowOff>142875</xdr:rowOff>
    </xdr:from>
    <xdr:to>
      <xdr:col>11</xdr:col>
      <xdr:colOff>390524</xdr:colOff>
      <xdr:row>7</xdr:row>
      <xdr:rowOff>95250</xdr:rowOff>
    </xdr:to>
    <xdr:sp macro="" textlink="">
      <xdr:nvSpPr>
        <xdr:cNvPr id="17" name="Título 1"/>
        <xdr:cNvSpPr>
          <a:spLocks noGrp="1"/>
        </xdr:cNvSpPr>
      </xdr:nvSpPr>
      <xdr:spPr>
        <a:xfrm>
          <a:off x="7010399" y="504825"/>
          <a:ext cx="2295525" cy="714375"/>
        </a:xfrm>
        <a:prstGeom prst="rect">
          <a:avLst/>
        </a:prstGeom>
        <a:solidFill>
          <a:schemeClr val="bg1"/>
        </a:solidFill>
      </xdr:spPr>
      <xdr:txBody>
        <a:bodyPr vert="horz" wrap="square" lIns="91440" tIns="45720" rIns="91440" bIns="45720" rtlCol="0" anchor="b">
          <a:normAutofit/>
        </a:bodyPr>
        <a:lstStyle>
          <a:lvl1pPr algn="ctr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60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r>
            <a:rPr lang="es-ES" sz="1800" b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  <a:t>NH PARTNERS</a:t>
          </a:r>
          <a:br>
            <a:rPr lang="es-ES" sz="1800" b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</a:br>
          <a:r>
            <a:rPr lang="es-ES" sz="1400" b="1" i="1">
              <a:solidFill>
                <a:schemeClr val="bg1">
                  <a:lumMod val="65000"/>
                </a:schemeClr>
              </a:solidFill>
              <a:latin typeface="+mn-lt"/>
            </a:rPr>
            <a:t>Ingeniería Saludable</a:t>
          </a:r>
          <a:r>
            <a:rPr lang="es-ES" sz="1800" b="1" i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  <a:t/>
          </a:r>
          <a:br>
            <a:rPr lang="es-ES" sz="1800" b="1" i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</a:br>
          <a:endParaRPr lang="es-ES" sz="1800" b="1" i="1">
            <a:solidFill>
              <a:schemeClr val="accent1">
                <a:lumMod val="60000"/>
                <a:lumOff val="40000"/>
              </a:schemeClr>
            </a:solidFill>
            <a:latin typeface="+mn-lt"/>
          </a:endParaRPr>
        </a:p>
      </xdr:txBody>
    </xdr:sp>
    <xdr:clientData/>
  </xdr:twoCellAnchor>
  <xdr:twoCellAnchor>
    <xdr:from>
      <xdr:col>9</xdr:col>
      <xdr:colOff>114300</xdr:colOff>
      <xdr:row>6</xdr:row>
      <xdr:rowOff>19051</xdr:rowOff>
    </xdr:from>
    <xdr:to>
      <xdr:col>11</xdr:col>
      <xdr:colOff>257175</xdr:colOff>
      <xdr:row>6</xdr:row>
      <xdr:rowOff>114301</xdr:rowOff>
    </xdr:to>
    <xdr:sp macro="" textlink="">
      <xdr:nvSpPr>
        <xdr:cNvPr id="21" name="Rectángulo 20"/>
        <xdr:cNvSpPr/>
      </xdr:nvSpPr>
      <xdr:spPr>
        <a:xfrm>
          <a:off x="7124700" y="990601"/>
          <a:ext cx="2047875" cy="952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10</xdr:col>
      <xdr:colOff>752475</xdr:colOff>
      <xdr:row>4</xdr:row>
      <xdr:rowOff>66675</xdr:rowOff>
    </xdr:from>
    <xdr:to>
      <xdr:col>11</xdr:col>
      <xdr:colOff>433225</xdr:colOff>
      <xdr:row>5</xdr:row>
      <xdr:rowOff>116190</xdr:rowOff>
    </xdr:to>
    <xdr:sp macro="" textlink="">
      <xdr:nvSpPr>
        <xdr:cNvPr id="23" name="CuadroTexto 4"/>
        <xdr:cNvSpPr txBox="1"/>
      </xdr:nvSpPr>
      <xdr:spPr>
        <a:xfrm>
          <a:off x="8905875" y="733425"/>
          <a:ext cx="442750" cy="2019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700" b="1"/>
            <a:t>MR</a:t>
          </a:r>
        </a:p>
      </xdr:txBody>
    </xdr:sp>
    <xdr:clientData/>
  </xdr:twoCellAnchor>
  <xdr:twoCellAnchor>
    <xdr:from>
      <xdr:col>11</xdr:col>
      <xdr:colOff>57150</xdr:colOff>
      <xdr:row>4</xdr:row>
      <xdr:rowOff>85725</xdr:rowOff>
    </xdr:from>
    <xdr:to>
      <xdr:col>11</xdr:col>
      <xdr:colOff>238125</xdr:colOff>
      <xdr:row>5</xdr:row>
      <xdr:rowOff>95250</xdr:rowOff>
    </xdr:to>
    <xdr:sp macro="" textlink="">
      <xdr:nvSpPr>
        <xdr:cNvPr id="25" name="Elipse 24"/>
        <xdr:cNvSpPr/>
      </xdr:nvSpPr>
      <xdr:spPr>
        <a:xfrm>
          <a:off x="8972550" y="752475"/>
          <a:ext cx="180975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0</xdr:rowOff>
    </xdr:from>
    <xdr:to>
      <xdr:col>3</xdr:col>
      <xdr:colOff>781050</xdr:colOff>
      <xdr:row>27</xdr:row>
      <xdr:rowOff>0</xdr:rowOff>
    </xdr:to>
    <xdr:sp macro="" textlink="">
      <xdr:nvSpPr>
        <xdr:cNvPr id="2" name="Rectángulo 1"/>
        <xdr:cNvSpPr/>
      </xdr:nvSpPr>
      <xdr:spPr>
        <a:xfrm>
          <a:off x="1914525" y="3714750"/>
          <a:ext cx="1752600" cy="457200"/>
        </a:xfrm>
        <a:prstGeom prst="rect">
          <a:avLst/>
        </a:prstGeom>
        <a:noFill/>
        <a:ln w="9525"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s-E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2066924</xdr:colOff>
      <xdr:row>9</xdr:row>
      <xdr:rowOff>1</xdr:rowOff>
    </xdr:from>
    <xdr:to>
      <xdr:col>8</xdr:col>
      <xdr:colOff>0</xdr:colOff>
      <xdr:row>20</xdr:row>
      <xdr:rowOff>142876</xdr:rowOff>
    </xdr:to>
    <xdr:sp macro="" textlink="">
      <xdr:nvSpPr>
        <xdr:cNvPr id="7" name="Rectángulo 6"/>
        <xdr:cNvSpPr/>
      </xdr:nvSpPr>
      <xdr:spPr>
        <a:xfrm>
          <a:off x="6524624" y="1333501"/>
          <a:ext cx="1704976" cy="1847850"/>
        </a:xfrm>
        <a:prstGeom prst="rect">
          <a:avLst/>
        </a:prstGeom>
        <a:noFill/>
        <a:ln w="9525"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s-E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7</xdr:col>
      <xdr:colOff>752475</xdr:colOff>
      <xdr:row>28</xdr:row>
      <xdr:rowOff>19051</xdr:rowOff>
    </xdr:to>
    <xdr:sp macro="" textlink="">
      <xdr:nvSpPr>
        <xdr:cNvPr id="9" name="Rectángulo 8"/>
        <xdr:cNvSpPr/>
      </xdr:nvSpPr>
      <xdr:spPr>
        <a:xfrm>
          <a:off x="5734050" y="3486150"/>
          <a:ext cx="1676400" cy="638176"/>
        </a:xfrm>
        <a:prstGeom prst="rect">
          <a:avLst/>
        </a:prstGeom>
        <a:noFill/>
        <a:ln w="9525"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19050</xdr:colOff>
      <xdr:row>2</xdr:row>
      <xdr:rowOff>19050</xdr:rowOff>
    </xdr:from>
    <xdr:to>
      <xdr:col>1</xdr:col>
      <xdr:colOff>686315</xdr:colOff>
      <xdr:row>4</xdr:row>
      <xdr:rowOff>152400</xdr:rowOff>
    </xdr:to>
    <xdr:sp macro="" textlink="">
      <xdr:nvSpPr>
        <xdr:cNvPr id="18" name="Rectángulo 17"/>
        <xdr:cNvSpPr/>
      </xdr:nvSpPr>
      <xdr:spPr>
        <a:xfrm>
          <a:off x="781050" y="219075"/>
          <a:ext cx="667265" cy="5715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b="1"/>
            <a:t>NH</a:t>
          </a:r>
        </a:p>
      </xdr:txBody>
    </xdr:sp>
    <xdr:clientData/>
  </xdr:twoCellAnchor>
  <xdr:twoCellAnchor>
    <xdr:from>
      <xdr:col>1</xdr:col>
      <xdr:colOff>695325</xdr:colOff>
      <xdr:row>2</xdr:row>
      <xdr:rowOff>38100</xdr:rowOff>
    </xdr:from>
    <xdr:to>
      <xdr:col>2</xdr:col>
      <xdr:colOff>686255</xdr:colOff>
      <xdr:row>4</xdr:row>
      <xdr:rowOff>153063</xdr:rowOff>
    </xdr:to>
    <xdr:sp macro="" textlink="">
      <xdr:nvSpPr>
        <xdr:cNvPr id="20" name="CuadroTexto 8"/>
        <xdr:cNvSpPr txBox="1"/>
      </xdr:nvSpPr>
      <xdr:spPr>
        <a:xfrm>
          <a:off x="1457325" y="276225"/>
          <a:ext cx="1143455" cy="5531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>
              <a:solidFill>
                <a:schemeClr val="tx1">
                  <a:lumMod val="65000"/>
                  <a:lumOff val="35000"/>
                </a:schemeClr>
              </a:solidFill>
            </a:rPr>
            <a:t>PARTNERS</a:t>
          </a:r>
        </a:p>
        <a:p>
          <a:r>
            <a:rPr lang="es-ES" sz="900">
              <a:solidFill>
                <a:schemeClr val="tx1">
                  <a:lumMod val="65000"/>
                  <a:lumOff val="35000"/>
                </a:schemeClr>
              </a:solidFill>
            </a:rPr>
            <a:t>Ingeniería </a:t>
          </a:r>
          <a:r>
            <a:rPr lang="es-ES" sz="800">
              <a:solidFill>
                <a:schemeClr val="tx1">
                  <a:lumMod val="65000"/>
                  <a:lumOff val="35000"/>
                </a:schemeClr>
              </a:solidFill>
            </a:rPr>
            <a:t>Saludable</a:t>
          </a:r>
        </a:p>
      </xdr:txBody>
    </xdr:sp>
    <xdr:clientData/>
  </xdr:twoCellAnchor>
  <xdr:twoCellAnchor editAs="oneCell">
    <xdr:from>
      <xdr:col>7</xdr:col>
      <xdr:colOff>152402</xdr:colOff>
      <xdr:row>2</xdr:row>
      <xdr:rowOff>9525</xdr:rowOff>
    </xdr:from>
    <xdr:to>
      <xdr:col>7</xdr:col>
      <xdr:colOff>726453</xdr:colOff>
      <xdr:row>4</xdr:row>
      <xdr:rowOff>142875</xdr:rowOff>
    </xdr:to>
    <xdr:pic>
      <xdr:nvPicPr>
        <xdr:cNvPr id="22" name="Picture 1" descr="Resultado de imagen para imagenes checkli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2" y="247650"/>
          <a:ext cx="574051" cy="571500"/>
        </a:xfrm>
        <a:prstGeom prst="rect">
          <a:avLst/>
        </a:prstGeom>
        <a:noFill/>
      </xdr:spPr>
    </xdr:pic>
    <xdr:clientData/>
  </xdr:twoCellAnchor>
  <xdr:twoCellAnchor>
    <xdr:from>
      <xdr:col>4</xdr:col>
      <xdr:colOff>152401</xdr:colOff>
      <xdr:row>33</xdr:row>
      <xdr:rowOff>19050</xdr:rowOff>
    </xdr:from>
    <xdr:to>
      <xdr:col>4</xdr:col>
      <xdr:colOff>381001</xdr:colOff>
      <xdr:row>38</xdr:row>
      <xdr:rowOff>19050</xdr:rowOff>
    </xdr:to>
    <xdr:sp macro="" textlink="">
      <xdr:nvSpPr>
        <xdr:cNvPr id="3" name="Cheurón 2"/>
        <xdr:cNvSpPr/>
      </xdr:nvSpPr>
      <xdr:spPr>
        <a:xfrm>
          <a:off x="3848101" y="5133975"/>
          <a:ext cx="228600" cy="762000"/>
        </a:xfrm>
        <a:prstGeom prst="chevron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476251</xdr:colOff>
      <xdr:row>33</xdr:row>
      <xdr:rowOff>19050</xdr:rowOff>
    </xdr:from>
    <xdr:to>
      <xdr:col>4</xdr:col>
      <xdr:colOff>695325</xdr:colOff>
      <xdr:row>38</xdr:row>
      <xdr:rowOff>19050</xdr:rowOff>
    </xdr:to>
    <xdr:sp macro="" textlink="">
      <xdr:nvSpPr>
        <xdr:cNvPr id="12" name="Cheurón 11"/>
        <xdr:cNvSpPr/>
      </xdr:nvSpPr>
      <xdr:spPr>
        <a:xfrm>
          <a:off x="4171951" y="4905375"/>
          <a:ext cx="219074" cy="762000"/>
        </a:xfrm>
        <a:prstGeom prst="chevron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609600</xdr:colOff>
      <xdr:row>30</xdr:row>
      <xdr:rowOff>9525</xdr:rowOff>
    </xdr:from>
    <xdr:to>
      <xdr:col>4</xdr:col>
      <xdr:colOff>38100</xdr:colOff>
      <xdr:row>41</xdr:row>
      <xdr:rowOff>114300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104777</xdr:colOff>
      <xdr:row>30</xdr:row>
      <xdr:rowOff>9525</xdr:rowOff>
    </xdr:from>
    <xdr:to>
      <xdr:col>9</xdr:col>
      <xdr:colOff>142875</xdr:colOff>
      <xdr:row>41</xdr:row>
      <xdr:rowOff>123826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85</xdr:row>
      <xdr:rowOff>76200</xdr:rowOff>
    </xdr:from>
    <xdr:to>
      <xdr:col>9</xdr:col>
      <xdr:colOff>638175</xdr:colOff>
      <xdr:row>85</xdr:row>
      <xdr:rowOff>121919</xdr:rowOff>
    </xdr:to>
    <xdr:sp macro="" textlink="">
      <xdr:nvSpPr>
        <xdr:cNvPr id="4" name="Rectángulo 3"/>
        <xdr:cNvSpPr/>
      </xdr:nvSpPr>
      <xdr:spPr>
        <a:xfrm>
          <a:off x="228600" y="12915900"/>
          <a:ext cx="8124825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57151</xdr:rowOff>
    </xdr:from>
    <xdr:to>
      <xdr:col>4</xdr:col>
      <xdr:colOff>114300</xdr:colOff>
      <xdr:row>2</xdr:row>
      <xdr:rowOff>85726</xdr:rowOff>
    </xdr:to>
    <xdr:sp macro="" textlink="">
      <xdr:nvSpPr>
        <xdr:cNvPr id="3" name="Título 1"/>
        <xdr:cNvSpPr>
          <a:spLocks noGrp="1"/>
        </xdr:cNvSpPr>
      </xdr:nvSpPr>
      <xdr:spPr>
        <a:xfrm>
          <a:off x="876300" y="200026"/>
          <a:ext cx="2771775" cy="219075"/>
        </a:xfrm>
        <a:prstGeom prst="rect">
          <a:avLst/>
        </a:prstGeom>
        <a:solidFill>
          <a:schemeClr val="bg1"/>
        </a:solidFill>
      </xdr:spPr>
      <xdr:txBody>
        <a:bodyPr vert="horz" wrap="square" lIns="91440" tIns="45720" rIns="91440" bIns="45720" rtlCol="0" anchor="b">
          <a:noAutofit/>
        </a:bodyPr>
        <a:lstStyle>
          <a:lvl1pPr algn="ctr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60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r>
            <a:rPr lang="es-ES" sz="800" b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  <a:t>NH PARTNERS</a:t>
          </a:r>
          <a:br>
            <a:rPr lang="es-ES" sz="800" b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</a:br>
          <a:r>
            <a:rPr lang="es-ES" sz="800" b="1" i="1">
              <a:solidFill>
                <a:schemeClr val="bg1">
                  <a:lumMod val="65000"/>
                </a:schemeClr>
              </a:solidFill>
              <a:latin typeface="+mn-lt"/>
            </a:rPr>
            <a:t>Ingeniería Saludable</a:t>
          </a:r>
          <a:r>
            <a:rPr lang="es-ES" sz="800" b="1" i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  <a:t/>
          </a:r>
          <a:br>
            <a:rPr lang="es-ES" sz="800" b="1" i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</a:br>
          <a:endParaRPr lang="es-ES" sz="800" b="1" i="1">
            <a:solidFill>
              <a:schemeClr val="accent1">
                <a:lumMod val="60000"/>
                <a:lumOff val="40000"/>
              </a:schemeClr>
            </a:solidFill>
            <a:latin typeface="+mn-lt"/>
          </a:endParaRPr>
        </a:p>
      </xdr:txBody>
    </xdr:sp>
    <xdr:clientData/>
  </xdr:twoCellAnchor>
  <xdr:twoCellAnchor>
    <xdr:from>
      <xdr:col>2</xdr:col>
      <xdr:colOff>428626</xdr:colOff>
      <xdr:row>1</xdr:row>
      <xdr:rowOff>163831</xdr:rowOff>
    </xdr:from>
    <xdr:to>
      <xdr:col>3</xdr:col>
      <xdr:colOff>476250</xdr:colOff>
      <xdr:row>2</xdr:row>
      <xdr:rowOff>19050</xdr:rowOff>
    </xdr:to>
    <xdr:sp macro="" textlink="">
      <xdr:nvSpPr>
        <xdr:cNvPr id="5" name="Rectángulo 4"/>
        <xdr:cNvSpPr/>
      </xdr:nvSpPr>
      <xdr:spPr>
        <a:xfrm>
          <a:off x="428626" y="306706"/>
          <a:ext cx="809624" cy="45719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 sz="800"/>
        </a:p>
      </xdr:txBody>
    </xdr:sp>
    <xdr:clientData/>
  </xdr:twoCellAnchor>
  <xdr:twoCellAnchor>
    <xdr:from>
      <xdr:col>3</xdr:col>
      <xdr:colOff>4764</xdr:colOff>
      <xdr:row>22</xdr:row>
      <xdr:rowOff>23812</xdr:rowOff>
    </xdr:from>
    <xdr:to>
      <xdr:col>8</xdr:col>
      <xdr:colOff>276226</xdr:colOff>
      <xdr:row>36</xdr:row>
      <xdr:rowOff>28575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22</xdr:row>
      <xdr:rowOff>33337</xdr:rowOff>
    </xdr:from>
    <xdr:to>
      <xdr:col>15</xdr:col>
      <xdr:colOff>238125</xdr:colOff>
      <xdr:row>36</xdr:row>
      <xdr:rowOff>57150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19049</xdr:colOff>
      <xdr:row>39</xdr:row>
      <xdr:rowOff>14288</xdr:rowOff>
    </xdr:from>
    <xdr:to>
      <xdr:col>8</xdr:col>
      <xdr:colOff>285750</xdr:colOff>
      <xdr:row>54</xdr:row>
      <xdr:rowOff>133351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</xdr:colOff>
      <xdr:row>39</xdr:row>
      <xdr:rowOff>4762</xdr:rowOff>
    </xdr:from>
    <xdr:to>
      <xdr:col>15</xdr:col>
      <xdr:colOff>228600</xdr:colOff>
      <xdr:row>55</xdr:row>
      <xdr:rowOff>9525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4762</xdr:colOff>
      <xdr:row>66</xdr:row>
      <xdr:rowOff>33337</xdr:rowOff>
    </xdr:from>
    <xdr:to>
      <xdr:col>8</xdr:col>
      <xdr:colOff>342900</xdr:colOff>
      <xdr:row>81</xdr:row>
      <xdr:rowOff>57150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23812</xdr:colOff>
      <xdr:row>66</xdr:row>
      <xdr:rowOff>23812</xdr:rowOff>
    </xdr:from>
    <xdr:to>
      <xdr:col>15</xdr:col>
      <xdr:colOff>371475</xdr:colOff>
      <xdr:row>81</xdr:row>
      <xdr:rowOff>66675</xdr:rowOff>
    </xdr:to>
    <xdr:graphicFrame macro="">
      <xdr:nvGraphicFramePr>
        <xdr:cNvPr id="22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4762</xdr:colOff>
      <xdr:row>82</xdr:row>
      <xdr:rowOff>23812</xdr:rowOff>
    </xdr:from>
    <xdr:to>
      <xdr:col>8</xdr:col>
      <xdr:colOff>342900</xdr:colOff>
      <xdr:row>96</xdr:row>
      <xdr:rowOff>104775</xdr:rowOff>
    </xdr:to>
    <xdr:graphicFrame macro="">
      <xdr:nvGraphicFramePr>
        <xdr:cNvPr id="2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576262</xdr:colOff>
      <xdr:row>82</xdr:row>
      <xdr:rowOff>14288</xdr:rowOff>
    </xdr:from>
    <xdr:to>
      <xdr:col>15</xdr:col>
      <xdr:colOff>381000</xdr:colOff>
      <xdr:row>97</xdr:row>
      <xdr:rowOff>19051</xdr:rowOff>
    </xdr:to>
    <xdr:graphicFrame macro="">
      <xdr:nvGraphicFramePr>
        <xdr:cNvPr id="24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4762</xdr:colOff>
      <xdr:row>99</xdr:row>
      <xdr:rowOff>138112</xdr:rowOff>
    </xdr:from>
    <xdr:to>
      <xdr:col>8</xdr:col>
      <xdr:colOff>371475</xdr:colOff>
      <xdr:row>116</xdr:row>
      <xdr:rowOff>28575</xdr:rowOff>
    </xdr:to>
    <xdr:graphicFrame macro="">
      <xdr:nvGraphicFramePr>
        <xdr:cNvPr id="25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14287</xdr:colOff>
      <xdr:row>100</xdr:row>
      <xdr:rowOff>4762</xdr:rowOff>
    </xdr:from>
    <xdr:to>
      <xdr:col>15</xdr:col>
      <xdr:colOff>390525</xdr:colOff>
      <xdr:row>116</xdr:row>
      <xdr:rowOff>28575</xdr:rowOff>
    </xdr:to>
    <xdr:graphicFrame macro="">
      <xdr:nvGraphicFramePr>
        <xdr:cNvPr id="26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14287</xdr:colOff>
      <xdr:row>117</xdr:row>
      <xdr:rowOff>4762</xdr:rowOff>
    </xdr:from>
    <xdr:to>
      <xdr:col>8</xdr:col>
      <xdr:colOff>352425</xdr:colOff>
      <xdr:row>131</xdr:row>
      <xdr:rowOff>47625</xdr:rowOff>
    </xdr:to>
    <xdr:graphicFrame macro="">
      <xdr:nvGraphicFramePr>
        <xdr:cNvPr id="27" name="Grá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4762</xdr:colOff>
      <xdr:row>117</xdr:row>
      <xdr:rowOff>4762</xdr:rowOff>
    </xdr:from>
    <xdr:to>
      <xdr:col>15</xdr:col>
      <xdr:colOff>390525</xdr:colOff>
      <xdr:row>131</xdr:row>
      <xdr:rowOff>47625</xdr:rowOff>
    </xdr:to>
    <xdr:graphicFrame macro="">
      <xdr:nvGraphicFramePr>
        <xdr:cNvPr id="28" name="Gráfico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17</xdr:row>
      <xdr:rowOff>28575</xdr:rowOff>
    </xdr:from>
    <xdr:to>
      <xdr:col>6</xdr:col>
      <xdr:colOff>209550</xdr:colOff>
      <xdr:row>19</xdr:row>
      <xdr:rowOff>19050</xdr:rowOff>
    </xdr:to>
    <xdr:sp macro="" textlink="">
      <xdr:nvSpPr>
        <xdr:cNvPr id="4" name="3 Cerrar llave"/>
        <xdr:cNvSpPr/>
      </xdr:nvSpPr>
      <xdr:spPr>
        <a:xfrm>
          <a:off x="9582150" y="2819400"/>
          <a:ext cx="876300" cy="314325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5</xdr:col>
      <xdr:colOff>123825</xdr:colOff>
      <xdr:row>20</xdr:row>
      <xdr:rowOff>133350</xdr:rowOff>
    </xdr:from>
    <xdr:to>
      <xdr:col>6</xdr:col>
      <xdr:colOff>238125</xdr:colOff>
      <xdr:row>22</xdr:row>
      <xdr:rowOff>123825</xdr:rowOff>
    </xdr:to>
    <xdr:sp macro="" textlink="">
      <xdr:nvSpPr>
        <xdr:cNvPr id="5" name="4 Cerrar llave"/>
        <xdr:cNvSpPr/>
      </xdr:nvSpPr>
      <xdr:spPr>
        <a:xfrm>
          <a:off x="9610725" y="3409950"/>
          <a:ext cx="876300" cy="314325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5</xdr:col>
      <xdr:colOff>123825</xdr:colOff>
      <xdr:row>24</xdr:row>
      <xdr:rowOff>152400</xdr:rowOff>
    </xdr:from>
    <xdr:to>
      <xdr:col>6</xdr:col>
      <xdr:colOff>238125</xdr:colOff>
      <xdr:row>35</xdr:row>
      <xdr:rowOff>0</xdr:rowOff>
    </xdr:to>
    <xdr:sp macro="" textlink="">
      <xdr:nvSpPr>
        <xdr:cNvPr id="6" name="5 Cerrar llave"/>
        <xdr:cNvSpPr/>
      </xdr:nvSpPr>
      <xdr:spPr>
        <a:xfrm>
          <a:off x="9610725" y="4095750"/>
          <a:ext cx="876300" cy="1628775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5</xdr:col>
      <xdr:colOff>142875</xdr:colOff>
      <xdr:row>40</xdr:row>
      <xdr:rowOff>133350</xdr:rowOff>
    </xdr:from>
    <xdr:to>
      <xdr:col>6</xdr:col>
      <xdr:colOff>257175</xdr:colOff>
      <xdr:row>42</xdr:row>
      <xdr:rowOff>123825</xdr:rowOff>
    </xdr:to>
    <xdr:sp macro="" textlink="">
      <xdr:nvSpPr>
        <xdr:cNvPr id="7" name="6 Cerrar llave"/>
        <xdr:cNvSpPr/>
      </xdr:nvSpPr>
      <xdr:spPr>
        <a:xfrm>
          <a:off x="9629775" y="6686550"/>
          <a:ext cx="876300" cy="314325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6</xdr:col>
      <xdr:colOff>57150</xdr:colOff>
      <xdr:row>15</xdr:row>
      <xdr:rowOff>123825</xdr:rowOff>
    </xdr:from>
    <xdr:to>
      <xdr:col>6</xdr:col>
      <xdr:colOff>714375</xdr:colOff>
      <xdr:row>19</xdr:row>
      <xdr:rowOff>28575</xdr:rowOff>
    </xdr:to>
    <xdr:sp macro="" textlink="">
      <xdr:nvSpPr>
        <xdr:cNvPr id="9" name="8 CuadroTexto"/>
        <xdr:cNvSpPr txBox="1"/>
      </xdr:nvSpPr>
      <xdr:spPr>
        <a:xfrm>
          <a:off x="10306050" y="2619375"/>
          <a:ext cx="65722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L" sz="4000">
              <a:solidFill>
                <a:srgbClr val="FF0000"/>
              </a:solidFill>
            </a:rPr>
            <a:t> ?</a:t>
          </a:r>
        </a:p>
      </xdr:txBody>
    </xdr:sp>
    <xdr:clientData/>
  </xdr:twoCellAnchor>
  <xdr:twoCellAnchor>
    <xdr:from>
      <xdr:col>6</xdr:col>
      <xdr:colOff>85725</xdr:colOff>
      <xdr:row>20</xdr:row>
      <xdr:rowOff>9525</xdr:rowOff>
    </xdr:from>
    <xdr:to>
      <xdr:col>6</xdr:col>
      <xdr:colOff>742950</xdr:colOff>
      <xdr:row>23</xdr:row>
      <xdr:rowOff>76200</xdr:rowOff>
    </xdr:to>
    <xdr:sp macro="" textlink="">
      <xdr:nvSpPr>
        <xdr:cNvPr id="10" name="9 CuadroTexto"/>
        <xdr:cNvSpPr txBox="1"/>
      </xdr:nvSpPr>
      <xdr:spPr>
        <a:xfrm>
          <a:off x="10334625" y="3324225"/>
          <a:ext cx="65722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L" sz="4000">
              <a:solidFill>
                <a:srgbClr val="FF0000"/>
              </a:solidFill>
            </a:rPr>
            <a:t> ?</a:t>
          </a:r>
        </a:p>
      </xdr:txBody>
    </xdr:sp>
    <xdr:clientData/>
  </xdr:twoCellAnchor>
  <xdr:twoCellAnchor>
    <xdr:from>
      <xdr:col>6</xdr:col>
      <xdr:colOff>133350</xdr:colOff>
      <xdr:row>27</xdr:row>
      <xdr:rowOff>9525</xdr:rowOff>
    </xdr:from>
    <xdr:to>
      <xdr:col>7</xdr:col>
      <xdr:colOff>28575</xdr:colOff>
      <xdr:row>30</xdr:row>
      <xdr:rowOff>85725</xdr:rowOff>
    </xdr:to>
    <xdr:sp macro="" textlink="">
      <xdr:nvSpPr>
        <xdr:cNvPr id="11" name="10 CuadroTexto"/>
        <xdr:cNvSpPr txBox="1"/>
      </xdr:nvSpPr>
      <xdr:spPr>
        <a:xfrm>
          <a:off x="10382250" y="4476750"/>
          <a:ext cx="65722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L" sz="4000">
              <a:solidFill>
                <a:srgbClr val="FF0000"/>
              </a:solidFill>
            </a:rPr>
            <a:t> ?</a:t>
          </a:r>
        </a:p>
      </xdr:txBody>
    </xdr:sp>
    <xdr:clientData/>
  </xdr:twoCellAnchor>
  <xdr:twoCellAnchor>
    <xdr:from>
      <xdr:col>6</xdr:col>
      <xdr:colOff>28575</xdr:colOff>
      <xdr:row>39</xdr:row>
      <xdr:rowOff>142875</xdr:rowOff>
    </xdr:from>
    <xdr:to>
      <xdr:col>6</xdr:col>
      <xdr:colOff>685800</xdr:colOff>
      <xdr:row>43</xdr:row>
      <xdr:rowOff>47625</xdr:rowOff>
    </xdr:to>
    <xdr:sp macro="" textlink="">
      <xdr:nvSpPr>
        <xdr:cNvPr id="12" name="11 CuadroTexto"/>
        <xdr:cNvSpPr txBox="1"/>
      </xdr:nvSpPr>
      <xdr:spPr>
        <a:xfrm>
          <a:off x="10277475" y="6572250"/>
          <a:ext cx="65722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L" sz="4000">
              <a:solidFill>
                <a:srgbClr val="FF0000"/>
              </a:solidFill>
            </a:rPr>
            <a:t> ?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11</xdr:col>
      <xdr:colOff>9525</xdr:colOff>
      <xdr:row>6</xdr:row>
      <xdr:rowOff>104775</xdr:rowOff>
    </xdr:to>
    <xdr:sp macro="" textlink="">
      <xdr:nvSpPr>
        <xdr:cNvPr id="3" name="Título 1"/>
        <xdr:cNvSpPr>
          <a:spLocks noGrp="1"/>
        </xdr:cNvSpPr>
      </xdr:nvSpPr>
      <xdr:spPr>
        <a:xfrm>
          <a:off x="6219825" y="314325"/>
          <a:ext cx="2295525" cy="714375"/>
        </a:xfrm>
        <a:prstGeom prst="rect">
          <a:avLst/>
        </a:prstGeom>
        <a:solidFill>
          <a:schemeClr val="bg1"/>
        </a:solidFill>
      </xdr:spPr>
      <xdr:txBody>
        <a:bodyPr vert="horz" wrap="square" lIns="91440" tIns="45720" rIns="91440" bIns="45720" rtlCol="0" anchor="b">
          <a:normAutofit/>
        </a:bodyPr>
        <a:lstStyle>
          <a:lvl1pPr algn="ctr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60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r>
            <a:rPr lang="es-ES" sz="1800" b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  <a:t>NH PARTNERS</a:t>
          </a:r>
          <a:br>
            <a:rPr lang="es-ES" sz="1800" b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</a:br>
          <a:r>
            <a:rPr lang="es-ES" sz="1400" b="1" i="1">
              <a:solidFill>
                <a:schemeClr val="bg1">
                  <a:lumMod val="65000"/>
                </a:schemeClr>
              </a:solidFill>
              <a:latin typeface="+mn-lt"/>
            </a:rPr>
            <a:t>Ingeniería Saludable</a:t>
          </a:r>
          <a:r>
            <a:rPr lang="es-ES" sz="1800" b="1" i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  <a:t/>
          </a:r>
          <a:br>
            <a:rPr lang="es-ES" sz="1800" b="1" i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</a:br>
          <a:endParaRPr lang="es-ES" sz="1800" b="1" i="1">
            <a:solidFill>
              <a:schemeClr val="accent1">
                <a:lumMod val="60000"/>
                <a:lumOff val="40000"/>
              </a:schemeClr>
            </a:solidFill>
            <a:latin typeface="+mn-lt"/>
          </a:endParaRPr>
        </a:p>
      </xdr:txBody>
    </xdr:sp>
    <xdr:clientData/>
  </xdr:twoCellAnchor>
  <xdr:twoCellAnchor>
    <xdr:from>
      <xdr:col>8</xdr:col>
      <xdr:colOff>104775</xdr:colOff>
      <xdr:row>5</xdr:row>
      <xdr:rowOff>0</xdr:rowOff>
    </xdr:from>
    <xdr:to>
      <xdr:col>10</xdr:col>
      <xdr:colOff>628650</xdr:colOff>
      <xdr:row>5</xdr:row>
      <xdr:rowOff>95250</xdr:rowOff>
    </xdr:to>
    <xdr:sp macro="" textlink="">
      <xdr:nvSpPr>
        <xdr:cNvPr id="5" name="Rectángulo 4"/>
        <xdr:cNvSpPr/>
      </xdr:nvSpPr>
      <xdr:spPr>
        <a:xfrm>
          <a:off x="6324600" y="771525"/>
          <a:ext cx="2047875" cy="952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10</xdr:col>
      <xdr:colOff>381000</xdr:colOff>
      <xdr:row>3</xdr:row>
      <xdr:rowOff>57150</xdr:rowOff>
    </xdr:from>
    <xdr:to>
      <xdr:col>11</xdr:col>
      <xdr:colOff>61750</xdr:colOff>
      <xdr:row>4</xdr:row>
      <xdr:rowOff>106665</xdr:rowOff>
    </xdr:to>
    <xdr:sp macro="" textlink="">
      <xdr:nvSpPr>
        <xdr:cNvPr id="7" name="CuadroTexto 4"/>
        <xdr:cNvSpPr txBox="1"/>
      </xdr:nvSpPr>
      <xdr:spPr>
        <a:xfrm>
          <a:off x="8124825" y="523875"/>
          <a:ext cx="442750" cy="2019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700" b="1"/>
            <a:t>MR</a:t>
          </a:r>
        </a:p>
      </xdr:txBody>
    </xdr:sp>
    <xdr:clientData/>
  </xdr:twoCellAnchor>
  <xdr:twoCellAnchor>
    <xdr:from>
      <xdr:col>10</xdr:col>
      <xdr:colOff>438150</xdr:colOff>
      <xdr:row>3</xdr:row>
      <xdr:rowOff>85725</xdr:rowOff>
    </xdr:from>
    <xdr:to>
      <xdr:col>10</xdr:col>
      <xdr:colOff>619125</xdr:colOff>
      <xdr:row>4</xdr:row>
      <xdr:rowOff>95250</xdr:rowOff>
    </xdr:to>
    <xdr:sp macro="" textlink="">
      <xdr:nvSpPr>
        <xdr:cNvPr id="9" name="Elipse 8"/>
        <xdr:cNvSpPr/>
      </xdr:nvSpPr>
      <xdr:spPr>
        <a:xfrm>
          <a:off x="8181975" y="552450"/>
          <a:ext cx="180975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4</xdr:row>
      <xdr:rowOff>152400</xdr:rowOff>
    </xdr:from>
    <xdr:to>
      <xdr:col>3</xdr:col>
      <xdr:colOff>85725</xdr:colOff>
      <xdr:row>7</xdr:row>
      <xdr:rowOff>0</xdr:rowOff>
    </xdr:to>
    <xdr:sp macro="" textlink="">
      <xdr:nvSpPr>
        <xdr:cNvPr id="2" name="1 Cerrar llave"/>
        <xdr:cNvSpPr/>
      </xdr:nvSpPr>
      <xdr:spPr>
        <a:xfrm>
          <a:off x="4648200" y="314325"/>
          <a:ext cx="200025" cy="3333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2</xdr:col>
      <xdr:colOff>1438275</xdr:colOff>
      <xdr:row>9</xdr:row>
      <xdr:rowOff>9525</xdr:rowOff>
    </xdr:from>
    <xdr:to>
      <xdr:col>3</xdr:col>
      <xdr:colOff>142875</xdr:colOff>
      <xdr:row>23</xdr:row>
      <xdr:rowOff>0</xdr:rowOff>
    </xdr:to>
    <xdr:sp macro="" textlink="">
      <xdr:nvSpPr>
        <xdr:cNvPr id="4" name="3 Cerrar llave"/>
        <xdr:cNvSpPr/>
      </xdr:nvSpPr>
      <xdr:spPr>
        <a:xfrm>
          <a:off x="4619625" y="981075"/>
          <a:ext cx="285750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2</xdr:col>
      <xdr:colOff>1495425</xdr:colOff>
      <xdr:row>25</xdr:row>
      <xdr:rowOff>0</xdr:rowOff>
    </xdr:from>
    <xdr:to>
      <xdr:col>3</xdr:col>
      <xdr:colOff>66675</xdr:colOff>
      <xdr:row>30</xdr:row>
      <xdr:rowOff>9525</xdr:rowOff>
    </xdr:to>
    <xdr:sp macro="" textlink="">
      <xdr:nvSpPr>
        <xdr:cNvPr id="5" name="4 Cerrar llave"/>
        <xdr:cNvSpPr/>
      </xdr:nvSpPr>
      <xdr:spPr>
        <a:xfrm>
          <a:off x="4676775" y="3562350"/>
          <a:ext cx="152400" cy="8191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6</xdr:col>
      <xdr:colOff>443230</xdr:colOff>
      <xdr:row>7</xdr:row>
      <xdr:rowOff>109855</xdr:rowOff>
    </xdr:to>
    <xdr:pic>
      <xdr:nvPicPr>
        <xdr:cNvPr id="2" name="1 Imagen" descr="Logo Vitasalud firma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048000" y="647700"/>
          <a:ext cx="1967230" cy="5956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66675</xdr:colOff>
      <xdr:row>9</xdr:row>
      <xdr:rowOff>28575</xdr:rowOff>
    </xdr:from>
    <xdr:to>
      <xdr:col>6</xdr:col>
      <xdr:colOff>533400</xdr:colOff>
      <xdr:row>12</xdr:row>
      <xdr:rowOff>66675</xdr:rowOff>
    </xdr:to>
    <xdr:sp macro="" textlink="">
      <xdr:nvSpPr>
        <xdr:cNvPr id="3" name="2 Rectángulo"/>
        <xdr:cNvSpPr/>
      </xdr:nvSpPr>
      <xdr:spPr>
        <a:xfrm>
          <a:off x="3114675" y="1485900"/>
          <a:ext cx="1990725" cy="523875"/>
        </a:xfrm>
        <a:prstGeom prst="rect">
          <a:avLst/>
        </a:prstGeom>
        <a:scene3d>
          <a:camera prst="orthographicFront"/>
          <a:lightRig rig="threePt" dir="t"/>
        </a:scene3d>
        <a:sp3d>
          <a:bevelT w="152400" h="50800" prst="softRound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1100" b="1">
              <a:solidFill>
                <a:sysClr val="windowText" lastClr="000000"/>
              </a:solidFill>
            </a:rPr>
            <a:t>NOVA</a:t>
          </a:r>
          <a:r>
            <a:rPr lang="es-ES" sz="1100" b="1" baseline="0">
              <a:solidFill>
                <a:sysClr val="windowText" lastClr="000000"/>
              </a:solidFill>
            </a:rPr>
            <a:t> HEALTH PARTNERS</a:t>
          </a:r>
          <a:endParaRPr lang="es-ES" sz="1100" b="1">
            <a:solidFill>
              <a:sysClr val="windowText" lastClr="000000"/>
            </a:solidFill>
          </a:endParaRPr>
        </a:p>
        <a:p>
          <a:pPr algn="ctr"/>
          <a:r>
            <a:rPr lang="es-ES" sz="800" b="1" i="1">
              <a:latin typeface="+mn-lt"/>
            </a:rPr>
            <a:t>INGENIERIA</a:t>
          </a:r>
          <a:r>
            <a:rPr lang="es-ES" sz="800" b="1" i="1" baseline="0">
              <a:latin typeface="+mn-lt"/>
            </a:rPr>
            <a:t> EN SALUD</a:t>
          </a:r>
          <a:endParaRPr lang="es-ES" sz="800" b="1" i="1">
            <a:latin typeface="+mn-lt"/>
          </a:endParaRPr>
        </a:p>
      </xdr:txBody>
    </xdr:sp>
    <xdr:clientData/>
  </xdr:twoCellAnchor>
  <xdr:twoCellAnchor editAs="oneCell">
    <xdr:from>
      <xdr:col>8</xdr:col>
      <xdr:colOff>0</xdr:colOff>
      <xdr:row>6</xdr:row>
      <xdr:rowOff>0</xdr:rowOff>
    </xdr:from>
    <xdr:to>
      <xdr:col>10</xdr:col>
      <xdr:colOff>443230</xdr:colOff>
      <xdr:row>9</xdr:row>
      <xdr:rowOff>109855</xdr:rowOff>
    </xdr:to>
    <xdr:pic>
      <xdr:nvPicPr>
        <xdr:cNvPr id="5" name="4 Imagen" descr="Logo Vitasalud firma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0" y="971550"/>
          <a:ext cx="1967230" cy="5956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showGridLines="0" topLeftCell="A32" workbookViewId="0">
      <selection activeCell="B5" sqref="B5"/>
    </sheetView>
  </sheetViews>
  <sheetFormatPr baseColWidth="10" defaultColWidth="11.42578125" defaultRowHeight="11.25" x14ac:dyDescent="0.2"/>
  <cols>
    <col min="1" max="1" width="23.140625" style="483" bestFit="1" customWidth="1"/>
    <col min="2" max="2" width="8.7109375" style="483" bestFit="1" customWidth="1"/>
    <col min="3" max="3" width="7.85546875" style="483" bestFit="1" customWidth="1"/>
    <col min="4" max="4" width="8.42578125" style="483" customWidth="1"/>
    <col min="5" max="5" width="7.85546875" style="483" bestFit="1" customWidth="1"/>
    <col min="6" max="16384" width="11.42578125" style="483"/>
  </cols>
  <sheetData>
    <row r="1" spans="1:11" ht="12" thickBot="1" x14ac:dyDescent="0.25">
      <c r="A1" s="536">
        <f>'Planilla Análisis ( isapre)'!D3</f>
        <v>26300</v>
      </c>
    </row>
    <row r="2" spans="1:11" ht="16.5" thickBot="1" x14ac:dyDescent="0.3">
      <c r="A2" s="537">
        <v>500</v>
      </c>
      <c r="B2" s="791" t="s">
        <v>475</v>
      </c>
      <c r="C2" s="791"/>
      <c r="D2" s="791" t="s">
        <v>476</v>
      </c>
      <c r="E2" s="791"/>
      <c r="G2" s="543" t="s">
        <v>478</v>
      </c>
      <c r="H2" s="549">
        <f>A2*A1</f>
        <v>13150000</v>
      </c>
      <c r="I2" s="544"/>
    </row>
    <row r="3" spans="1:11" ht="16.5" thickBot="1" x14ac:dyDescent="0.3">
      <c r="B3" s="548" t="s">
        <v>474</v>
      </c>
      <c r="C3" s="304" t="s">
        <v>48</v>
      </c>
      <c r="D3" s="548" t="s">
        <v>474</v>
      </c>
      <c r="E3" s="304" t="s">
        <v>48</v>
      </c>
      <c r="G3" s="545" t="s">
        <v>483</v>
      </c>
      <c r="H3" s="546"/>
      <c r="I3" s="547"/>
      <c r="J3" s="541"/>
      <c r="K3" s="542"/>
    </row>
    <row r="4" spans="1:11" ht="13.5" thickBot="1" x14ac:dyDescent="0.25">
      <c r="A4" s="401" t="s">
        <v>0</v>
      </c>
      <c r="B4" s="548" t="s">
        <v>477</v>
      </c>
      <c r="D4" s="548" t="s">
        <v>477</v>
      </c>
    </row>
    <row r="5" spans="1:11" x14ac:dyDescent="0.2">
      <c r="A5" s="333" t="s">
        <v>1</v>
      </c>
      <c r="B5" s="511">
        <v>19803</v>
      </c>
      <c r="C5" s="514">
        <f>B5/$A$1</f>
        <v>0.75296577946768062</v>
      </c>
      <c r="D5" s="517">
        <v>28032</v>
      </c>
      <c r="E5" s="514">
        <f>D5/$A$1</f>
        <v>1.0658555133079848</v>
      </c>
    </row>
    <row r="6" spans="1:11" x14ac:dyDescent="0.2">
      <c r="A6" s="333" t="s">
        <v>4</v>
      </c>
      <c r="B6" s="512">
        <v>12377</v>
      </c>
      <c r="C6" s="515">
        <f t="shared" ref="C6:C18" si="0">B6/$A$1</f>
        <v>0.47060836501901143</v>
      </c>
      <c r="D6" s="518">
        <v>17545</v>
      </c>
      <c r="E6" s="515">
        <f t="shared" ref="E6:E18" si="1">D6/$A$1</f>
        <v>0.66711026615969582</v>
      </c>
    </row>
    <row r="7" spans="1:11" x14ac:dyDescent="0.2">
      <c r="A7" s="333" t="s">
        <v>7</v>
      </c>
      <c r="B7" s="512">
        <v>3246</v>
      </c>
      <c r="C7" s="515">
        <f t="shared" si="0"/>
        <v>0.12342205323193917</v>
      </c>
      <c r="D7" s="518">
        <v>4323</v>
      </c>
      <c r="E7" s="515">
        <f t="shared" si="1"/>
        <v>0.16437262357414448</v>
      </c>
    </row>
    <row r="8" spans="1:11" x14ac:dyDescent="0.2">
      <c r="A8" s="333" t="s">
        <v>8</v>
      </c>
      <c r="B8" s="512">
        <v>7134</v>
      </c>
      <c r="C8" s="515">
        <f t="shared" si="0"/>
        <v>0.27125475285171102</v>
      </c>
      <c r="D8" s="518">
        <v>8654</v>
      </c>
      <c r="E8" s="515">
        <f t="shared" si="1"/>
        <v>0.32904942965779466</v>
      </c>
    </row>
    <row r="9" spans="1:11" x14ac:dyDescent="0.2">
      <c r="A9" s="333" t="s">
        <v>9</v>
      </c>
      <c r="B9" s="512">
        <v>7712</v>
      </c>
      <c r="C9" s="515">
        <f t="shared" si="0"/>
        <v>0.2932319391634981</v>
      </c>
      <c r="D9" s="518">
        <v>9875</v>
      </c>
      <c r="E9" s="515">
        <f t="shared" si="1"/>
        <v>0.37547528517110268</v>
      </c>
    </row>
    <row r="10" spans="1:11" x14ac:dyDescent="0.2">
      <c r="A10" s="333" t="s">
        <v>10</v>
      </c>
      <c r="B10" s="512">
        <v>3572</v>
      </c>
      <c r="C10" s="515">
        <f t="shared" si="0"/>
        <v>0.13581749049429659</v>
      </c>
      <c r="D10" s="518">
        <v>4288</v>
      </c>
      <c r="E10" s="515">
        <f t="shared" si="1"/>
        <v>0.16304182509505705</v>
      </c>
    </row>
    <row r="11" spans="1:11" x14ac:dyDescent="0.2">
      <c r="A11" s="333" t="s">
        <v>11</v>
      </c>
      <c r="B11" s="512">
        <v>2132</v>
      </c>
      <c r="C11" s="515">
        <f t="shared" si="0"/>
        <v>8.1064638783269957E-2</v>
      </c>
      <c r="D11" s="518">
        <v>2456</v>
      </c>
      <c r="E11" s="515">
        <f t="shared" si="1"/>
        <v>9.3384030418250955E-2</v>
      </c>
    </row>
    <row r="12" spans="1:11" x14ac:dyDescent="0.2">
      <c r="A12" s="333" t="s">
        <v>12</v>
      </c>
      <c r="B12" s="512">
        <v>6120</v>
      </c>
      <c r="C12" s="515">
        <f t="shared" si="0"/>
        <v>0.23269961977186313</v>
      </c>
      <c r="D12" s="518">
        <v>6800</v>
      </c>
      <c r="E12" s="515">
        <f t="shared" si="1"/>
        <v>0.2585551330798479</v>
      </c>
    </row>
    <row r="13" spans="1:11" x14ac:dyDescent="0.2">
      <c r="A13" s="333" t="s">
        <v>13</v>
      </c>
      <c r="B13" s="512">
        <v>93960</v>
      </c>
      <c r="C13" s="515">
        <f t="shared" si="0"/>
        <v>3.5726235741444867</v>
      </c>
      <c r="D13" s="518">
        <v>101543</v>
      </c>
      <c r="E13" s="515">
        <f t="shared" si="1"/>
        <v>3.8609505703422053</v>
      </c>
    </row>
    <row r="14" spans="1:11" x14ac:dyDescent="0.2">
      <c r="A14" s="333" t="s">
        <v>15</v>
      </c>
      <c r="B14" s="512">
        <v>24338</v>
      </c>
      <c r="C14" s="515">
        <f t="shared" si="0"/>
        <v>0.92539923954372627</v>
      </c>
      <c r="D14" s="518">
        <v>27898</v>
      </c>
      <c r="E14" s="515">
        <f t="shared" si="1"/>
        <v>1.0607604562737643</v>
      </c>
    </row>
    <row r="15" spans="1:11" x14ac:dyDescent="0.2">
      <c r="A15" s="333" t="s">
        <v>16</v>
      </c>
      <c r="B15" s="512">
        <v>21102</v>
      </c>
      <c r="C15" s="515">
        <f t="shared" si="0"/>
        <v>0.80235741444866915</v>
      </c>
      <c r="D15" s="518">
        <v>33456</v>
      </c>
      <c r="E15" s="515">
        <f t="shared" si="1"/>
        <v>1.2720912547528518</v>
      </c>
    </row>
    <row r="16" spans="1:11" x14ac:dyDescent="0.2">
      <c r="A16" s="333" t="s">
        <v>17</v>
      </c>
      <c r="B16" s="512">
        <v>69604</v>
      </c>
      <c r="C16" s="515">
        <f t="shared" si="0"/>
        <v>2.6465399239543728</v>
      </c>
      <c r="D16" s="518">
        <v>111333</v>
      </c>
      <c r="E16" s="515">
        <f t="shared" si="1"/>
        <v>4.2331939163498102</v>
      </c>
    </row>
    <row r="17" spans="1:6" x14ac:dyDescent="0.2">
      <c r="A17" s="333" t="s">
        <v>18</v>
      </c>
      <c r="B17" s="512">
        <v>24498</v>
      </c>
      <c r="C17" s="515">
        <f t="shared" si="0"/>
        <v>0.9314828897338403</v>
      </c>
      <c r="D17" s="518">
        <v>27844</v>
      </c>
      <c r="E17" s="515">
        <f t="shared" si="1"/>
        <v>1.0587072243346007</v>
      </c>
    </row>
    <row r="18" spans="1:6" ht="12" thickBot="1" x14ac:dyDescent="0.25">
      <c r="A18" s="333" t="s">
        <v>19</v>
      </c>
      <c r="B18" s="513">
        <v>12948</v>
      </c>
      <c r="C18" s="516">
        <f t="shared" si="0"/>
        <v>0.49231939163498101</v>
      </c>
      <c r="D18" s="519">
        <v>13456</v>
      </c>
      <c r="E18" s="516">
        <f t="shared" si="1"/>
        <v>0.51163498098859317</v>
      </c>
    </row>
    <row r="19" spans="1:6" ht="12" thickBot="1" x14ac:dyDescent="0.25">
      <c r="A19" s="351" t="s">
        <v>60</v>
      </c>
    </row>
    <row r="20" spans="1:6" x14ac:dyDescent="0.2">
      <c r="A20" s="333" t="s">
        <v>20</v>
      </c>
      <c r="B20" s="488">
        <v>1075000</v>
      </c>
      <c r="C20" s="484">
        <f>B20/$A$1</f>
        <v>40.874524714828894</v>
      </c>
      <c r="D20" s="511">
        <v>1345999</v>
      </c>
      <c r="E20" s="514">
        <f>D20/$A$1</f>
        <v>51.178669201520911</v>
      </c>
    </row>
    <row r="21" spans="1:6" x14ac:dyDescent="0.2">
      <c r="A21" s="333" t="s">
        <v>479</v>
      </c>
      <c r="B21" s="489">
        <f>'Planilla Análisis ( isapre)'!C39</f>
        <v>893201.39999999991</v>
      </c>
      <c r="C21" s="490">
        <f>B21/$A$1</f>
        <v>33.962030418250947</v>
      </c>
      <c r="D21" s="512">
        <v>756000</v>
      </c>
      <c r="E21" s="515">
        <f t="shared" ref="E21:E29" si="2">D21/$A$1</f>
        <v>28.745247148288975</v>
      </c>
    </row>
    <row r="22" spans="1:6" x14ac:dyDescent="0.2">
      <c r="A22" s="333" t="s">
        <v>21</v>
      </c>
      <c r="B22" s="489">
        <v>356000</v>
      </c>
      <c r="C22" s="490">
        <f>B22/$A$1</f>
        <v>13.536121673003802</v>
      </c>
      <c r="D22" s="512">
        <v>380000</v>
      </c>
      <c r="E22" s="515">
        <f t="shared" si="2"/>
        <v>14.448669201520913</v>
      </c>
    </row>
    <row r="23" spans="1:6" x14ac:dyDescent="0.2">
      <c r="A23" s="333" t="s">
        <v>22</v>
      </c>
      <c r="B23" s="520">
        <f>B22</f>
        <v>356000</v>
      </c>
      <c r="C23" s="490">
        <f>B23/$A$1</f>
        <v>13.536121673003802</v>
      </c>
      <c r="D23" s="523">
        <f>D22</f>
        <v>380000</v>
      </c>
      <c r="E23" s="515">
        <f t="shared" si="2"/>
        <v>14.448669201520913</v>
      </c>
    </row>
    <row r="24" spans="1:6" x14ac:dyDescent="0.2">
      <c r="A24" s="366" t="s">
        <v>23</v>
      </c>
      <c r="B24" s="489">
        <v>199000</v>
      </c>
      <c r="C24" s="490">
        <f>(B24*5)/$A$1</f>
        <v>37.832699619771866</v>
      </c>
      <c r="D24" s="512">
        <v>234000</v>
      </c>
      <c r="E24" s="515">
        <f t="shared" si="2"/>
        <v>8.8973384030418252</v>
      </c>
    </row>
    <row r="25" spans="1:6" x14ac:dyDescent="0.2">
      <c r="A25" s="333" t="s">
        <v>24</v>
      </c>
      <c r="B25" s="489">
        <v>1800000</v>
      </c>
      <c r="C25" s="490">
        <f>B25/$A$1</f>
        <v>68.441064638783274</v>
      </c>
      <c r="D25" s="512">
        <v>1800000</v>
      </c>
      <c r="E25" s="515">
        <f t="shared" si="2"/>
        <v>68.441064638783274</v>
      </c>
    </row>
    <row r="26" spans="1:6" x14ac:dyDescent="0.2">
      <c r="A26" s="333" t="s">
        <v>25</v>
      </c>
      <c r="B26" s="489">
        <v>943000</v>
      </c>
      <c r="C26" s="490">
        <f>B26/$A$1</f>
        <v>35.855513307984793</v>
      </c>
      <c r="D26" s="512">
        <v>943000</v>
      </c>
      <c r="E26" s="515">
        <f t="shared" si="2"/>
        <v>35.855513307984793</v>
      </c>
    </row>
    <row r="27" spans="1:6" x14ac:dyDescent="0.2">
      <c r="A27" s="333" t="s">
        <v>26</v>
      </c>
      <c r="B27" s="504">
        <f>B26</f>
        <v>943000</v>
      </c>
      <c r="C27" s="490">
        <f>B27/$A$1</f>
        <v>35.855513307984793</v>
      </c>
      <c r="D27" s="524">
        <f>D26</f>
        <v>943000</v>
      </c>
      <c r="E27" s="515">
        <f t="shared" si="2"/>
        <v>35.855513307984793</v>
      </c>
    </row>
    <row r="28" spans="1:6" x14ac:dyDescent="0.2">
      <c r="A28" s="333" t="s">
        <v>27</v>
      </c>
      <c r="B28" s="504">
        <f>B26</f>
        <v>943000</v>
      </c>
      <c r="C28" s="490">
        <f>B28/$A$1</f>
        <v>35.855513307984793</v>
      </c>
      <c r="D28" s="524">
        <f>D26</f>
        <v>943000</v>
      </c>
      <c r="E28" s="515">
        <f t="shared" si="2"/>
        <v>35.855513307984793</v>
      </c>
    </row>
    <row r="29" spans="1:6" x14ac:dyDescent="0.2">
      <c r="A29" s="333" t="s">
        <v>28</v>
      </c>
      <c r="B29" s="504">
        <f>B26</f>
        <v>943000</v>
      </c>
      <c r="C29" s="490">
        <f>B29/$A$1</f>
        <v>35.855513307984793</v>
      </c>
      <c r="D29" s="524">
        <f>D26</f>
        <v>943000</v>
      </c>
      <c r="E29" s="515">
        <f t="shared" si="2"/>
        <v>35.855513307984793</v>
      </c>
    </row>
    <row r="30" spans="1:6" ht="12.75" customHeight="1" x14ac:dyDescent="0.2">
      <c r="A30" s="451" t="s">
        <v>480</v>
      </c>
      <c r="B30" s="504"/>
      <c r="C30" s="503">
        <v>90</v>
      </c>
      <c r="D30" s="507"/>
      <c r="E30" s="521">
        <v>90</v>
      </c>
      <c r="F30" s="304" t="s">
        <v>482</v>
      </c>
    </row>
    <row r="31" spans="1:6" ht="12" thickBot="1" x14ac:dyDescent="0.25">
      <c r="A31" s="333" t="s">
        <v>29</v>
      </c>
      <c r="B31" s="505"/>
      <c r="C31" s="492">
        <f>C30</f>
        <v>90</v>
      </c>
      <c r="D31" s="508"/>
      <c r="E31" s="525">
        <f>E30</f>
        <v>90</v>
      </c>
    </row>
    <row r="32" spans="1:6" x14ac:dyDescent="0.2">
      <c r="A32" s="333"/>
      <c r="B32" s="493">
        <f>SUM(B20:B31)</f>
        <v>8451201.4000000004</v>
      </c>
      <c r="C32" s="494"/>
    </row>
    <row r="33" spans="1:10" x14ac:dyDescent="0.2">
      <c r="A33" s="333"/>
      <c r="B33" s="495"/>
      <c r="C33" s="494"/>
    </row>
    <row r="34" spans="1:10" ht="12" thickBot="1" x14ac:dyDescent="0.25">
      <c r="A34" s="351" t="s">
        <v>61</v>
      </c>
      <c r="F34" s="304" t="s">
        <v>481</v>
      </c>
    </row>
    <row r="35" spans="1:10" x14ac:dyDescent="0.2">
      <c r="A35" s="333" t="s">
        <v>30</v>
      </c>
      <c r="B35" s="496"/>
      <c r="C35" s="526">
        <f t="shared" ref="C35:C43" si="3">($C$44*F35)/$A$1</f>
        <v>49.125475285171106</v>
      </c>
      <c r="D35" s="531"/>
      <c r="E35" s="530">
        <f t="shared" ref="E35:E43" si="4">($E$44*F35)/$A$1</f>
        <v>54.29657794676806</v>
      </c>
      <c r="F35" s="540">
        <v>0.34</v>
      </c>
    </row>
    <row r="36" spans="1:10" x14ac:dyDescent="0.2">
      <c r="A36" s="425" t="s">
        <v>31</v>
      </c>
      <c r="B36" s="497"/>
      <c r="C36" s="527">
        <f t="shared" si="3"/>
        <v>18.783269961977187</v>
      </c>
      <c r="D36" s="532"/>
      <c r="E36" s="534">
        <f t="shared" si="4"/>
        <v>20.760456273764259</v>
      </c>
      <c r="F36" s="540">
        <v>0.13</v>
      </c>
    </row>
    <row r="37" spans="1:10" x14ac:dyDescent="0.2">
      <c r="A37" s="333" t="s">
        <v>32</v>
      </c>
      <c r="B37" s="497"/>
      <c r="C37" s="527">
        <f t="shared" si="3"/>
        <v>11.558935361216729</v>
      </c>
      <c r="D37" s="532"/>
      <c r="E37" s="534">
        <f t="shared" si="4"/>
        <v>12.775665399239545</v>
      </c>
      <c r="F37" s="540">
        <v>0.08</v>
      </c>
    </row>
    <row r="38" spans="1:10" x14ac:dyDescent="0.2">
      <c r="A38" s="333" t="s">
        <v>33</v>
      </c>
      <c r="B38" s="497"/>
      <c r="C38" s="527">
        <f t="shared" si="3"/>
        <v>8.6692015209125479</v>
      </c>
      <c r="D38" s="532"/>
      <c r="E38" s="534">
        <f t="shared" si="4"/>
        <v>9.5817490494296571</v>
      </c>
      <c r="F38" s="540">
        <v>0.06</v>
      </c>
    </row>
    <row r="39" spans="1:10" x14ac:dyDescent="0.2">
      <c r="A39" s="333" t="s">
        <v>34</v>
      </c>
      <c r="B39" s="497"/>
      <c r="C39" s="527">
        <f t="shared" si="3"/>
        <v>9.3916349809885933</v>
      </c>
      <c r="D39" s="532"/>
      <c r="E39" s="534">
        <f t="shared" si="4"/>
        <v>10.380228136882129</v>
      </c>
      <c r="F39" s="540">
        <v>6.5000000000000002E-2</v>
      </c>
    </row>
    <row r="40" spans="1:10" x14ac:dyDescent="0.2">
      <c r="A40" s="333" t="s">
        <v>35</v>
      </c>
      <c r="B40" s="497"/>
      <c r="C40" s="527">
        <f t="shared" si="3"/>
        <v>9.3916349809885933</v>
      </c>
      <c r="D40" s="532"/>
      <c r="E40" s="534">
        <f t="shared" si="4"/>
        <v>10.380228136882129</v>
      </c>
      <c r="F40" s="540">
        <v>6.5000000000000002E-2</v>
      </c>
    </row>
    <row r="41" spans="1:10" x14ac:dyDescent="0.2">
      <c r="A41" s="333" t="s">
        <v>36</v>
      </c>
      <c r="B41" s="497"/>
      <c r="C41" s="527">
        <f t="shared" si="3"/>
        <v>11.558935361216729</v>
      </c>
      <c r="D41" s="532"/>
      <c r="E41" s="534">
        <f t="shared" si="4"/>
        <v>12.775665399239545</v>
      </c>
      <c r="F41" s="540">
        <v>0.08</v>
      </c>
    </row>
    <row r="42" spans="1:10" x14ac:dyDescent="0.2">
      <c r="A42" s="333" t="s">
        <v>37</v>
      </c>
      <c r="B42" s="497"/>
      <c r="C42" s="527">
        <f t="shared" si="3"/>
        <v>4.334600760456274</v>
      </c>
      <c r="D42" s="532"/>
      <c r="E42" s="534">
        <f t="shared" si="4"/>
        <v>4.7908745247148286</v>
      </c>
      <c r="F42" s="540">
        <v>0.03</v>
      </c>
    </row>
    <row r="43" spans="1:10" ht="12" thickBot="1" x14ac:dyDescent="0.25">
      <c r="A43" s="333" t="s">
        <v>38</v>
      </c>
      <c r="B43" s="498"/>
      <c r="C43" s="528">
        <f t="shared" si="3"/>
        <v>21.673003802281368</v>
      </c>
      <c r="D43" s="533"/>
      <c r="E43" s="535">
        <f t="shared" si="4"/>
        <v>23.954372623574145</v>
      </c>
      <c r="F43" s="540">
        <v>0.15</v>
      </c>
    </row>
    <row r="44" spans="1:10" ht="12" thickBot="1" x14ac:dyDescent="0.25">
      <c r="A44" s="333"/>
      <c r="B44" s="499"/>
      <c r="C44" s="509">
        <v>3800000</v>
      </c>
      <c r="E44" s="509">
        <v>4200000</v>
      </c>
      <c r="F44" s="538"/>
      <c r="G44" s="538"/>
      <c r="H44" s="538"/>
      <c r="I44" s="538"/>
      <c r="J44" s="529"/>
    </row>
    <row r="45" spans="1:10" x14ac:dyDescent="0.2">
      <c r="A45" s="333"/>
      <c r="B45" s="482"/>
    </row>
    <row r="46" spans="1:10" ht="12" thickBot="1" x14ac:dyDescent="0.25">
      <c r="A46" s="351" t="s">
        <v>447</v>
      </c>
    </row>
    <row r="47" spans="1:10" x14ac:dyDescent="0.2">
      <c r="A47" s="333" t="s">
        <v>20</v>
      </c>
      <c r="B47" s="488">
        <v>234000</v>
      </c>
      <c r="C47" s="530">
        <f>B47/$A$1</f>
        <v>8.8973384030418252</v>
      </c>
      <c r="D47" s="488">
        <v>350000</v>
      </c>
      <c r="E47" s="485"/>
    </row>
    <row r="48" spans="1:10" x14ac:dyDescent="0.2">
      <c r="A48" s="333" t="s">
        <v>40</v>
      </c>
      <c r="B48" s="522">
        <f>B47</f>
        <v>234000</v>
      </c>
      <c r="C48" s="534">
        <f t="shared" ref="C48:C52" si="5">B48/$A$1</f>
        <v>8.8973384030418252</v>
      </c>
      <c r="D48" s="522">
        <f>D47</f>
        <v>350000</v>
      </c>
      <c r="E48" s="486"/>
    </row>
    <row r="49" spans="1:8" x14ac:dyDescent="0.2">
      <c r="A49" s="366" t="s">
        <v>41</v>
      </c>
      <c r="B49" s="522">
        <f>B24</f>
        <v>199000</v>
      </c>
      <c r="C49" s="534">
        <f t="shared" si="5"/>
        <v>7.5665399239543722</v>
      </c>
      <c r="D49" s="522">
        <f>D24</f>
        <v>234000</v>
      </c>
      <c r="E49" s="486"/>
    </row>
    <row r="50" spans="1:8" x14ac:dyDescent="0.2">
      <c r="A50" s="333" t="s">
        <v>24</v>
      </c>
      <c r="B50" s="522">
        <f>B25</f>
        <v>1800000</v>
      </c>
      <c r="C50" s="534">
        <f t="shared" si="5"/>
        <v>68.441064638783274</v>
      </c>
      <c r="D50" s="522">
        <f>D25</f>
        <v>1800000</v>
      </c>
      <c r="E50" s="486"/>
    </row>
    <row r="51" spans="1:8" x14ac:dyDescent="0.2">
      <c r="A51" s="333" t="s">
        <v>25</v>
      </c>
      <c r="B51" s="522">
        <f>B26</f>
        <v>943000</v>
      </c>
      <c r="C51" s="534">
        <f t="shared" si="5"/>
        <v>35.855513307984793</v>
      </c>
      <c r="D51" s="522">
        <f>D26</f>
        <v>943000</v>
      </c>
      <c r="E51" s="486"/>
    </row>
    <row r="52" spans="1:8" ht="12" thickBot="1" x14ac:dyDescent="0.25">
      <c r="A52" s="333" t="s">
        <v>42</v>
      </c>
      <c r="B52" s="539">
        <f>B29</f>
        <v>943000</v>
      </c>
      <c r="C52" s="535">
        <f t="shared" si="5"/>
        <v>35.855513307984793</v>
      </c>
      <c r="D52" s="539">
        <f>D29</f>
        <v>943000</v>
      </c>
      <c r="E52" s="487"/>
    </row>
    <row r="53" spans="1:8" x14ac:dyDescent="0.2">
      <c r="A53" s="333"/>
      <c r="B53" s="510"/>
      <c r="C53" s="527"/>
      <c r="D53" s="529"/>
      <c r="E53" s="529"/>
    </row>
    <row r="54" spans="1:8" x14ac:dyDescent="0.2">
      <c r="A54" s="333"/>
      <c r="B54" s="510"/>
      <c r="C54" s="527"/>
      <c r="D54" s="529"/>
      <c r="E54" s="529"/>
    </row>
    <row r="55" spans="1:8" ht="12" thickBot="1" x14ac:dyDescent="0.25">
      <c r="A55" s="351" t="s">
        <v>61</v>
      </c>
      <c r="B55" s="529"/>
      <c r="C55" s="529"/>
      <c r="D55" s="529"/>
      <c r="E55" s="529"/>
      <c r="F55" s="304" t="s">
        <v>481</v>
      </c>
    </row>
    <row r="56" spans="1:8" x14ac:dyDescent="0.2">
      <c r="A56" s="333" t="s">
        <v>30</v>
      </c>
      <c r="B56" s="496"/>
      <c r="C56" s="530">
        <f>($C$60*F56)/$A$1</f>
        <v>13.759505703422054</v>
      </c>
      <c r="D56" s="506"/>
      <c r="E56" s="530">
        <f>($E$60*F56)/$A$1</f>
        <v>21.007604562737644</v>
      </c>
      <c r="F56" s="540">
        <v>0.625</v>
      </c>
    </row>
    <row r="57" spans="1:8" x14ac:dyDescent="0.2">
      <c r="A57" s="333" t="s">
        <v>43</v>
      </c>
      <c r="B57" s="497"/>
      <c r="C57" s="534">
        <f>($C$60*F57)/$A$1</f>
        <v>4.127851711026616</v>
      </c>
      <c r="D57" s="507"/>
      <c r="E57" s="534">
        <f t="shared" ref="E57:E59" si="6">($E$60*F57)/$A$1</f>
        <v>6.3022813688212924</v>
      </c>
      <c r="F57" s="540">
        <v>0.1875</v>
      </c>
    </row>
    <row r="58" spans="1:8" x14ac:dyDescent="0.2">
      <c r="A58" s="333" t="s">
        <v>44</v>
      </c>
      <c r="B58" s="497"/>
      <c r="C58" s="534">
        <f>($C$60*F58)/$A$1</f>
        <v>2.7519011406844105</v>
      </c>
      <c r="D58" s="507"/>
      <c r="E58" s="534">
        <f t="shared" si="6"/>
        <v>4.2015209125475286</v>
      </c>
      <c r="F58" s="540">
        <v>0.125</v>
      </c>
    </row>
    <row r="59" spans="1:8" ht="12" thickBot="1" x14ac:dyDescent="0.25">
      <c r="A59" s="333" t="s">
        <v>37</v>
      </c>
      <c r="B59" s="498"/>
      <c r="C59" s="535">
        <f>($C$60*F59)/$A$1</f>
        <v>1.3759505703422052</v>
      </c>
      <c r="D59" s="508"/>
      <c r="E59" s="535">
        <f t="shared" si="6"/>
        <v>2.1007604562737643</v>
      </c>
      <c r="F59" s="540">
        <v>6.25E-2</v>
      </c>
    </row>
    <row r="60" spans="1:8" ht="12" thickBot="1" x14ac:dyDescent="0.25">
      <c r="A60" s="333"/>
      <c r="B60" s="510"/>
      <c r="C60" s="491">
        <v>579000</v>
      </c>
      <c r="E60" s="491">
        <v>884000</v>
      </c>
      <c r="F60" s="538"/>
      <c r="G60" s="529"/>
      <c r="H60" s="529"/>
    </row>
    <row r="61" spans="1:8" x14ac:dyDescent="0.2">
      <c r="A61" s="381" t="s">
        <v>79</v>
      </c>
    </row>
    <row r="62" spans="1:8" x14ac:dyDescent="0.2">
      <c r="A62" s="500" t="s">
        <v>80</v>
      </c>
    </row>
    <row r="63" spans="1:8" x14ac:dyDescent="0.2">
      <c r="A63" s="500" t="s">
        <v>81</v>
      </c>
    </row>
    <row r="64" spans="1:8" x14ac:dyDescent="0.2">
      <c r="A64" s="500" t="s">
        <v>82</v>
      </c>
    </row>
    <row r="65" spans="1:1" x14ac:dyDescent="0.2">
      <c r="A65" s="500" t="s">
        <v>83</v>
      </c>
    </row>
    <row r="66" spans="1:1" x14ac:dyDescent="0.2">
      <c r="A66" s="500" t="s">
        <v>84</v>
      </c>
    </row>
    <row r="67" spans="1:1" x14ac:dyDescent="0.2">
      <c r="A67" s="500" t="s">
        <v>85</v>
      </c>
    </row>
    <row r="68" spans="1:1" x14ac:dyDescent="0.2">
      <c r="A68" s="387" t="s">
        <v>109</v>
      </c>
    </row>
    <row r="69" spans="1:1" x14ac:dyDescent="0.2">
      <c r="A69" s="501" t="s">
        <v>150</v>
      </c>
    </row>
    <row r="70" spans="1:1" x14ac:dyDescent="0.2">
      <c r="A70" s="501" t="s">
        <v>157</v>
      </c>
    </row>
    <row r="71" spans="1:1" x14ac:dyDescent="0.2">
      <c r="A71" s="500" t="s">
        <v>151</v>
      </c>
    </row>
    <row r="72" spans="1:1" x14ac:dyDescent="0.2">
      <c r="A72" s="500" t="s">
        <v>152</v>
      </c>
    </row>
    <row r="73" spans="1:1" x14ac:dyDescent="0.2">
      <c r="A73" s="500" t="s">
        <v>153</v>
      </c>
    </row>
    <row r="74" spans="1:1" x14ac:dyDescent="0.2">
      <c r="A74" s="500" t="s">
        <v>154</v>
      </c>
    </row>
    <row r="75" spans="1:1" x14ac:dyDescent="0.2">
      <c r="A75" s="381" t="s">
        <v>156</v>
      </c>
    </row>
    <row r="76" spans="1:1" x14ac:dyDescent="0.2">
      <c r="A76" s="501" t="s">
        <v>150</v>
      </c>
    </row>
    <row r="77" spans="1:1" x14ac:dyDescent="0.2">
      <c r="A77" s="501" t="s">
        <v>157</v>
      </c>
    </row>
    <row r="78" spans="1:1" x14ac:dyDescent="0.2">
      <c r="A78" s="500" t="s">
        <v>151</v>
      </c>
    </row>
    <row r="79" spans="1:1" x14ac:dyDescent="0.2">
      <c r="A79" s="500" t="s">
        <v>152</v>
      </c>
    </row>
    <row r="80" spans="1:1" x14ac:dyDescent="0.2">
      <c r="A80" s="500" t="s">
        <v>153</v>
      </c>
    </row>
    <row r="81" spans="1:1" x14ac:dyDescent="0.2">
      <c r="A81" s="500" t="s">
        <v>154</v>
      </c>
    </row>
    <row r="82" spans="1:1" x14ac:dyDescent="0.2">
      <c r="A82" s="502"/>
    </row>
    <row r="83" spans="1:1" x14ac:dyDescent="0.2">
      <c r="A83" s="502"/>
    </row>
    <row r="84" spans="1:1" x14ac:dyDescent="0.2">
      <c r="A84" s="502"/>
    </row>
    <row r="85" spans="1:1" x14ac:dyDescent="0.2">
      <c r="A85" s="502"/>
    </row>
    <row r="86" spans="1:1" x14ac:dyDescent="0.2">
      <c r="A86" s="502"/>
    </row>
    <row r="87" spans="1:1" x14ac:dyDescent="0.2">
      <c r="A87" s="502"/>
    </row>
    <row r="88" spans="1:1" x14ac:dyDescent="0.2">
      <c r="A88" s="502"/>
    </row>
    <row r="89" spans="1:1" x14ac:dyDescent="0.2">
      <c r="A89" s="502"/>
    </row>
    <row r="90" spans="1:1" x14ac:dyDescent="0.2">
      <c r="A90" s="502"/>
    </row>
    <row r="91" spans="1:1" x14ac:dyDescent="0.2">
      <c r="A91" s="502"/>
    </row>
    <row r="92" spans="1:1" x14ac:dyDescent="0.2">
      <c r="A92" s="502"/>
    </row>
    <row r="93" spans="1:1" x14ac:dyDescent="0.2">
      <c r="A93" s="502"/>
    </row>
    <row r="94" spans="1:1" x14ac:dyDescent="0.2">
      <c r="A94" s="502"/>
    </row>
    <row r="95" spans="1:1" x14ac:dyDescent="0.2">
      <c r="A95" s="502"/>
    </row>
    <row r="96" spans="1:1" x14ac:dyDescent="0.2">
      <c r="A96" s="502"/>
    </row>
    <row r="97" spans="1:1" x14ac:dyDescent="0.2">
      <c r="A97" s="502"/>
    </row>
    <row r="98" spans="1:1" x14ac:dyDescent="0.2">
      <c r="A98" s="502"/>
    </row>
    <row r="99" spans="1:1" x14ac:dyDescent="0.2">
      <c r="A99" s="502"/>
    </row>
    <row r="100" spans="1:1" x14ac:dyDescent="0.2">
      <c r="A100" s="502"/>
    </row>
    <row r="101" spans="1:1" x14ac:dyDescent="0.2">
      <c r="A101" s="502"/>
    </row>
    <row r="102" spans="1:1" x14ac:dyDescent="0.2">
      <c r="A102" s="502"/>
    </row>
    <row r="103" spans="1:1" x14ac:dyDescent="0.2">
      <c r="A103" s="502"/>
    </row>
    <row r="104" spans="1:1" x14ac:dyDescent="0.2">
      <c r="A104" s="502"/>
    </row>
    <row r="105" spans="1:1" x14ac:dyDescent="0.2">
      <c r="A105" s="502"/>
    </row>
    <row r="106" spans="1:1" x14ac:dyDescent="0.2">
      <c r="A106" s="502"/>
    </row>
    <row r="107" spans="1:1" x14ac:dyDescent="0.2">
      <c r="A107" s="502"/>
    </row>
    <row r="108" spans="1:1" x14ac:dyDescent="0.2">
      <c r="A108" s="502"/>
    </row>
    <row r="109" spans="1:1" x14ac:dyDescent="0.2">
      <c r="A109" s="502"/>
    </row>
    <row r="110" spans="1:1" x14ac:dyDescent="0.2">
      <c r="A110" s="502"/>
    </row>
    <row r="111" spans="1:1" x14ac:dyDescent="0.2">
      <c r="A111" s="502"/>
    </row>
    <row r="112" spans="1:1" x14ac:dyDescent="0.2">
      <c r="A112" s="502"/>
    </row>
    <row r="113" spans="1:1" x14ac:dyDescent="0.2">
      <c r="A113" s="502"/>
    </row>
    <row r="114" spans="1:1" x14ac:dyDescent="0.2">
      <c r="A114" s="502"/>
    </row>
    <row r="115" spans="1:1" x14ac:dyDescent="0.2">
      <c r="A115" s="502"/>
    </row>
    <row r="116" spans="1:1" x14ac:dyDescent="0.2">
      <c r="A116" s="502"/>
    </row>
    <row r="117" spans="1:1" x14ac:dyDescent="0.2">
      <c r="A117" s="502"/>
    </row>
    <row r="118" spans="1:1" x14ac:dyDescent="0.2">
      <c r="A118" s="502"/>
    </row>
    <row r="119" spans="1:1" x14ac:dyDescent="0.2">
      <c r="A119" s="502"/>
    </row>
    <row r="120" spans="1:1" x14ac:dyDescent="0.2">
      <c r="A120" s="502"/>
    </row>
    <row r="121" spans="1:1" x14ac:dyDescent="0.2">
      <c r="A121" s="502"/>
    </row>
    <row r="122" spans="1:1" x14ac:dyDescent="0.2">
      <c r="A122" s="502"/>
    </row>
    <row r="123" spans="1:1" x14ac:dyDescent="0.2">
      <c r="A123" s="502"/>
    </row>
    <row r="124" spans="1:1" x14ac:dyDescent="0.2">
      <c r="A124" s="502"/>
    </row>
    <row r="125" spans="1:1" x14ac:dyDescent="0.2">
      <c r="A125" s="502"/>
    </row>
    <row r="126" spans="1:1" x14ac:dyDescent="0.2">
      <c r="A126" s="502"/>
    </row>
    <row r="127" spans="1:1" x14ac:dyDescent="0.2">
      <c r="A127" s="502"/>
    </row>
    <row r="128" spans="1:1" x14ac:dyDescent="0.2">
      <c r="A128" s="502"/>
    </row>
    <row r="129" spans="1:1" x14ac:dyDescent="0.2">
      <c r="A129" s="502"/>
    </row>
    <row r="130" spans="1:1" x14ac:dyDescent="0.2">
      <c r="A130" s="502"/>
    </row>
    <row r="131" spans="1:1" x14ac:dyDescent="0.2">
      <c r="A131" s="502"/>
    </row>
    <row r="132" spans="1:1" x14ac:dyDescent="0.2">
      <c r="A132" s="502"/>
    </row>
    <row r="133" spans="1:1" x14ac:dyDescent="0.2">
      <c r="A133" s="502"/>
    </row>
    <row r="134" spans="1:1" x14ac:dyDescent="0.2">
      <c r="A134" s="502"/>
    </row>
    <row r="135" spans="1:1" x14ac:dyDescent="0.2">
      <c r="A135" s="502"/>
    </row>
    <row r="136" spans="1:1" x14ac:dyDescent="0.2">
      <c r="A136" s="502"/>
    </row>
    <row r="137" spans="1:1" x14ac:dyDescent="0.2">
      <c r="A137" s="502"/>
    </row>
    <row r="138" spans="1:1" x14ac:dyDescent="0.2">
      <c r="A138" s="502"/>
    </row>
    <row r="139" spans="1:1" x14ac:dyDescent="0.2">
      <c r="A139" s="502"/>
    </row>
    <row r="140" spans="1:1" x14ac:dyDescent="0.2">
      <c r="A140" s="502"/>
    </row>
    <row r="141" spans="1:1" x14ac:dyDescent="0.2">
      <c r="A141" s="502"/>
    </row>
  </sheetData>
  <mergeCells count="2">
    <mergeCell ref="D2:E2"/>
    <mergeCell ref="B2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6"/>
  <sheetViews>
    <sheetView topLeftCell="A15" workbookViewId="0">
      <selection activeCell="F10" sqref="F10"/>
    </sheetView>
  </sheetViews>
  <sheetFormatPr baseColWidth="10" defaultRowHeight="12.75" x14ac:dyDescent="0.2"/>
  <sheetData>
    <row r="2" spans="2:19" x14ac:dyDescent="0.2">
      <c r="B2" t="s">
        <v>209</v>
      </c>
    </row>
    <row r="4" spans="2:19" ht="13.5" thickBot="1" x14ac:dyDescent="0.25">
      <c r="M4" s="861" t="s">
        <v>57</v>
      </c>
      <c r="N4" s="861"/>
      <c r="O4" s="861" t="s">
        <v>397</v>
      </c>
      <c r="P4" s="861"/>
      <c r="Q4" s="861"/>
      <c r="R4" s="861" t="s">
        <v>399</v>
      </c>
      <c r="S4" s="861"/>
    </row>
    <row r="5" spans="2:19" ht="13.5" thickBot="1" x14ac:dyDescent="0.25">
      <c r="D5" s="232" t="s">
        <v>175</v>
      </c>
      <c r="E5" s="233" t="s">
        <v>210</v>
      </c>
      <c r="F5" s="233" t="s">
        <v>211</v>
      </c>
      <c r="G5" s="233" t="s">
        <v>212</v>
      </c>
      <c r="H5" s="233" t="s">
        <v>395</v>
      </c>
      <c r="I5" s="233" t="s">
        <v>181</v>
      </c>
      <c r="J5" s="234" t="s">
        <v>213</v>
      </c>
      <c r="K5" s="251" t="s">
        <v>394</v>
      </c>
      <c r="L5" s="252" t="s">
        <v>396</v>
      </c>
      <c r="M5" s="253">
        <v>0.7</v>
      </c>
      <c r="N5" s="252" t="s">
        <v>46</v>
      </c>
      <c r="O5" s="252" t="s">
        <v>2</v>
      </c>
      <c r="P5" s="252" t="s">
        <v>398</v>
      </c>
      <c r="Q5" s="252" t="s">
        <v>46</v>
      </c>
      <c r="R5" s="252" t="s">
        <v>398</v>
      </c>
      <c r="S5" s="253" t="s">
        <v>46</v>
      </c>
    </row>
    <row r="6" spans="2:19" x14ac:dyDescent="0.2">
      <c r="B6" s="110"/>
      <c r="C6" s="111" t="s">
        <v>1</v>
      </c>
      <c r="D6" s="71">
        <v>54000</v>
      </c>
      <c r="E6" s="71">
        <v>54000</v>
      </c>
      <c r="F6" s="71">
        <v>29100</v>
      </c>
      <c r="G6" s="224"/>
      <c r="H6" s="71">
        <v>22650</v>
      </c>
      <c r="I6" s="71">
        <v>23078</v>
      </c>
      <c r="J6" s="71">
        <v>24328</v>
      </c>
      <c r="K6" s="71">
        <v>11170</v>
      </c>
      <c r="O6" s="253">
        <v>-0.3</v>
      </c>
      <c r="R6" s="253">
        <v>0.7</v>
      </c>
    </row>
    <row r="7" spans="2:19" x14ac:dyDescent="0.2">
      <c r="B7" s="110"/>
      <c r="C7" s="111" t="s">
        <v>4</v>
      </c>
      <c r="D7" s="71"/>
      <c r="E7" s="230"/>
      <c r="F7" s="224"/>
      <c r="G7" s="224"/>
      <c r="H7" s="224"/>
      <c r="I7" s="224"/>
      <c r="J7" s="224"/>
    </row>
    <row r="8" spans="2:19" x14ac:dyDescent="0.2">
      <c r="B8" s="110"/>
      <c r="C8" s="111" t="s">
        <v>41</v>
      </c>
      <c r="D8" s="229">
        <v>412242</v>
      </c>
      <c r="E8" s="229">
        <v>444036</v>
      </c>
      <c r="F8" s="229">
        <v>287800</v>
      </c>
      <c r="G8" s="231"/>
      <c r="H8" s="231">
        <v>205910</v>
      </c>
      <c r="I8" s="229">
        <v>288040</v>
      </c>
      <c r="J8" s="229">
        <v>179985</v>
      </c>
      <c r="K8" s="249">
        <v>131824</v>
      </c>
    </row>
    <row r="9" spans="2:19" x14ac:dyDescent="0.2">
      <c r="B9" s="110"/>
      <c r="C9" s="111" t="s">
        <v>21</v>
      </c>
      <c r="D9" s="229">
        <v>682037</v>
      </c>
      <c r="E9" s="229">
        <v>624651</v>
      </c>
      <c r="F9" s="229">
        <v>466300</v>
      </c>
      <c r="G9" s="231"/>
      <c r="H9" s="231">
        <v>346110</v>
      </c>
      <c r="I9" s="229">
        <v>410807</v>
      </c>
      <c r="J9" s="229">
        <v>332277</v>
      </c>
      <c r="K9" s="249">
        <v>308000</v>
      </c>
    </row>
    <row r="10" spans="2:19" ht="13.5" thickBot="1" x14ac:dyDescent="0.25">
      <c r="B10" s="110"/>
      <c r="C10" s="112" t="s">
        <v>6</v>
      </c>
      <c r="D10" s="71"/>
      <c r="E10" s="230"/>
      <c r="F10" s="224"/>
      <c r="G10" s="224"/>
      <c r="H10" s="224"/>
      <c r="I10" s="224"/>
      <c r="J10" s="224"/>
    </row>
    <row r="11" spans="2:19" x14ac:dyDescent="0.2">
      <c r="B11" s="110"/>
      <c r="C11" s="111" t="s">
        <v>7</v>
      </c>
      <c r="D11" s="229">
        <v>20683</v>
      </c>
      <c r="E11" s="229">
        <v>17465</v>
      </c>
      <c r="F11" s="229">
        <v>4500</v>
      </c>
      <c r="G11" s="229"/>
      <c r="H11" s="229">
        <v>3590</v>
      </c>
      <c r="I11" s="229">
        <v>5057</v>
      </c>
      <c r="J11" s="229">
        <v>3340</v>
      </c>
      <c r="K11" s="249">
        <v>3340</v>
      </c>
      <c r="M11" s="178">
        <f>D11*$M$5</f>
        <v>14478.099999999999</v>
      </c>
      <c r="N11" s="254">
        <f>D11-M11</f>
        <v>6204.9000000000015</v>
      </c>
      <c r="O11" s="178">
        <f>D11/1.3</f>
        <v>15910</v>
      </c>
      <c r="P11" s="178">
        <f>O11*$M$5</f>
        <v>11137</v>
      </c>
      <c r="Q11" s="254">
        <f>O11-P11</f>
        <v>4773</v>
      </c>
      <c r="R11" s="178"/>
      <c r="S11" s="254">
        <f>N11*$R$6</f>
        <v>4343.43</v>
      </c>
    </row>
    <row r="12" spans="2:19" x14ac:dyDescent="0.2">
      <c r="B12" s="110"/>
      <c r="C12" s="111" t="s">
        <v>8</v>
      </c>
      <c r="D12" s="229">
        <v>32485</v>
      </c>
      <c r="E12" s="229">
        <v>34781</v>
      </c>
      <c r="F12" s="229">
        <v>9200</v>
      </c>
      <c r="G12" s="229"/>
      <c r="H12" s="229">
        <v>11210</v>
      </c>
      <c r="I12" s="229">
        <v>10517</v>
      </c>
      <c r="J12" s="229">
        <v>6940</v>
      </c>
      <c r="K12" s="249">
        <v>6940</v>
      </c>
      <c r="M12" s="178">
        <f t="shared" ref="M12:M17" si="0">D12*$M$5</f>
        <v>22739.5</v>
      </c>
      <c r="N12" s="255">
        <f t="shared" ref="N12:N17" si="1">D12-M12</f>
        <v>9745.5</v>
      </c>
      <c r="O12" s="178">
        <f t="shared" ref="O12:O17" si="2">D12/1.3</f>
        <v>24988.461538461539</v>
      </c>
      <c r="P12" s="178">
        <f t="shared" ref="P12:P24" si="3">O12*$M$5</f>
        <v>17491.923076923074</v>
      </c>
      <c r="Q12" s="255">
        <f t="shared" ref="Q12:Q24" si="4">O12-P12</f>
        <v>7496.5384615384646</v>
      </c>
      <c r="R12" s="178"/>
      <c r="S12" s="255">
        <f t="shared" ref="S12:S24" si="5">N12*$R$6</f>
        <v>6821.8499999999995</v>
      </c>
    </row>
    <row r="13" spans="2:19" x14ac:dyDescent="0.2">
      <c r="B13" s="110"/>
      <c r="C13" s="111" t="s">
        <v>9</v>
      </c>
      <c r="D13" s="229">
        <v>27288</v>
      </c>
      <c r="E13" s="229">
        <v>26720</v>
      </c>
      <c r="F13" s="229">
        <v>12800</v>
      </c>
      <c r="G13" s="229"/>
      <c r="H13" s="229">
        <v>15240</v>
      </c>
      <c r="I13" s="229">
        <v>14213</v>
      </c>
      <c r="J13" s="229">
        <v>9390</v>
      </c>
      <c r="K13" s="249">
        <v>9300</v>
      </c>
      <c r="M13" s="178">
        <f t="shared" si="0"/>
        <v>19101.599999999999</v>
      </c>
      <c r="N13" s="255">
        <f t="shared" si="1"/>
        <v>8186.4000000000015</v>
      </c>
      <c r="O13" s="178">
        <f t="shared" si="2"/>
        <v>20990.76923076923</v>
      </c>
      <c r="P13" s="178">
        <f t="shared" si="3"/>
        <v>14693.538461538461</v>
      </c>
      <c r="Q13" s="255">
        <f t="shared" si="4"/>
        <v>6297.2307692307695</v>
      </c>
      <c r="R13" s="178"/>
      <c r="S13" s="255">
        <f t="shared" si="5"/>
        <v>5730.4800000000005</v>
      </c>
    </row>
    <row r="14" spans="2:19" x14ac:dyDescent="0.2">
      <c r="B14" s="110"/>
      <c r="C14" s="111" t="s">
        <v>10</v>
      </c>
      <c r="D14" s="229">
        <v>19440</v>
      </c>
      <c r="E14" s="229">
        <v>17993</v>
      </c>
      <c r="F14" s="229">
        <v>8800</v>
      </c>
      <c r="G14" s="229"/>
      <c r="H14" s="229">
        <v>1520</v>
      </c>
      <c r="I14" s="229">
        <v>7720</v>
      </c>
      <c r="J14" s="229">
        <v>5398</v>
      </c>
      <c r="K14" s="249">
        <v>1440</v>
      </c>
      <c r="M14" s="178">
        <f t="shared" si="0"/>
        <v>13608</v>
      </c>
      <c r="N14" s="255">
        <f t="shared" si="1"/>
        <v>5832</v>
      </c>
      <c r="O14" s="178">
        <f t="shared" si="2"/>
        <v>14953.846153846152</v>
      </c>
      <c r="P14" s="178">
        <f t="shared" si="3"/>
        <v>10467.692307692307</v>
      </c>
      <c r="Q14" s="255">
        <f t="shared" si="4"/>
        <v>4486.1538461538457</v>
      </c>
      <c r="R14" s="178"/>
      <c r="S14" s="255">
        <f t="shared" si="5"/>
        <v>4082.3999999999996</v>
      </c>
    </row>
    <row r="15" spans="2:19" x14ac:dyDescent="0.2">
      <c r="B15" s="110"/>
      <c r="C15" s="111" t="s">
        <v>11</v>
      </c>
      <c r="D15" s="229">
        <v>11645</v>
      </c>
      <c r="E15" s="229">
        <v>11760</v>
      </c>
      <c r="F15" s="229">
        <v>2700</v>
      </c>
      <c r="G15" s="229"/>
      <c r="H15" s="229">
        <v>2280</v>
      </c>
      <c r="I15" s="229">
        <v>3142</v>
      </c>
      <c r="J15" s="229">
        <v>2080</v>
      </c>
      <c r="K15" s="249">
        <v>2080</v>
      </c>
      <c r="M15" s="178">
        <f t="shared" si="0"/>
        <v>8151.4999999999991</v>
      </c>
      <c r="N15" s="255">
        <f t="shared" si="1"/>
        <v>3493.5000000000009</v>
      </c>
      <c r="O15" s="178">
        <f t="shared" si="2"/>
        <v>8957.6923076923067</v>
      </c>
      <c r="P15" s="178">
        <f t="shared" si="3"/>
        <v>6270.3846153846143</v>
      </c>
      <c r="Q15" s="255">
        <f t="shared" si="4"/>
        <v>2687.3076923076924</v>
      </c>
      <c r="R15" s="178"/>
      <c r="S15" s="255">
        <f t="shared" si="5"/>
        <v>2445.4500000000003</v>
      </c>
    </row>
    <row r="16" spans="2:19" x14ac:dyDescent="0.2">
      <c r="B16" s="110"/>
      <c r="C16" s="111" t="s">
        <v>12</v>
      </c>
      <c r="D16" s="229">
        <v>117935</v>
      </c>
      <c r="E16" s="229">
        <v>115000</v>
      </c>
      <c r="F16" s="229">
        <v>98800</v>
      </c>
      <c r="G16" s="229"/>
      <c r="H16" s="229">
        <v>154730</v>
      </c>
      <c r="I16" s="229">
        <v>105000</v>
      </c>
      <c r="J16" s="229">
        <v>76640</v>
      </c>
      <c r="K16" s="249">
        <v>76640</v>
      </c>
      <c r="M16" s="178">
        <f t="shared" si="0"/>
        <v>82554.5</v>
      </c>
      <c r="N16" s="255">
        <f t="shared" si="1"/>
        <v>35380.5</v>
      </c>
      <c r="O16" s="178">
        <f t="shared" si="2"/>
        <v>90719.230769230766</v>
      </c>
      <c r="P16" s="178">
        <f t="shared" si="3"/>
        <v>63503.461538461532</v>
      </c>
      <c r="Q16" s="255">
        <f t="shared" si="4"/>
        <v>27215.769230769234</v>
      </c>
      <c r="R16" s="178"/>
      <c r="S16" s="255">
        <f t="shared" si="5"/>
        <v>24766.35</v>
      </c>
    </row>
    <row r="17" spans="2:19" ht="13.5" thickBot="1" x14ac:dyDescent="0.25">
      <c r="B17" s="110"/>
      <c r="C17" s="111" t="s">
        <v>13</v>
      </c>
      <c r="D17" s="229">
        <v>79874</v>
      </c>
      <c r="E17" s="229">
        <v>97154</v>
      </c>
      <c r="F17" s="229">
        <v>67700</v>
      </c>
      <c r="G17" s="229"/>
      <c r="H17" s="229">
        <v>60700</v>
      </c>
      <c r="I17" s="229">
        <v>121798</v>
      </c>
      <c r="J17" s="229">
        <v>59472</v>
      </c>
      <c r="K17" s="250"/>
      <c r="M17" s="178">
        <f t="shared" si="0"/>
        <v>55911.799999999996</v>
      </c>
      <c r="N17" s="256">
        <f t="shared" si="1"/>
        <v>23962.200000000004</v>
      </c>
      <c r="O17" s="178">
        <f t="shared" si="2"/>
        <v>61441.538461538461</v>
      </c>
      <c r="P17" s="178">
        <f t="shared" si="3"/>
        <v>43009.076923076922</v>
      </c>
      <c r="Q17" s="256">
        <f t="shared" si="4"/>
        <v>18432.461538461539</v>
      </c>
      <c r="R17" s="178"/>
      <c r="S17" s="256">
        <f t="shared" si="5"/>
        <v>16773.54</v>
      </c>
    </row>
    <row r="18" spans="2:19" x14ac:dyDescent="0.2">
      <c r="B18" s="110"/>
      <c r="C18" s="112"/>
      <c r="D18" s="229"/>
      <c r="E18" s="229"/>
      <c r="F18" s="229"/>
      <c r="G18" s="229"/>
      <c r="H18" s="229"/>
      <c r="I18" s="229"/>
      <c r="J18" s="229"/>
      <c r="O18" s="178"/>
      <c r="P18" s="178"/>
      <c r="Q18" s="178"/>
      <c r="R18" s="178"/>
      <c r="S18" s="178"/>
    </row>
    <row r="19" spans="2:19" ht="13.5" thickBot="1" x14ac:dyDescent="0.25">
      <c r="B19" s="110"/>
      <c r="C19" s="111" t="s">
        <v>14</v>
      </c>
      <c r="D19" s="229"/>
      <c r="E19" s="229"/>
      <c r="F19" s="229"/>
      <c r="G19" s="229"/>
      <c r="H19" s="229"/>
      <c r="I19" s="229"/>
      <c r="J19" s="229"/>
      <c r="O19" s="178"/>
      <c r="P19" s="178"/>
      <c r="Q19" s="178"/>
      <c r="R19" s="178"/>
      <c r="S19" s="178"/>
    </row>
    <row r="20" spans="2:19" x14ac:dyDescent="0.2">
      <c r="B20" s="110"/>
      <c r="C20" s="111" t="s">
        <v>15</v>
      </c>
      <c r="D20" s="229">
        <v>55827</v>
      </c>
      <c r="E20" s="229">
        <v>59500</v>
      </c>
      <c r="F20" s="229">
        <v>41400</v>
      </c>
      <c r="G20" s="229"/>
      <c r="H20" s="229">
        <v>35940</v>
      </c>
      <c r="I20" s="229">
        <v>31534</v>
      </c>
      <c r="J20" s="229">
        <v>20850</v>
      </c>
      <c r="K20" s="249">
        <v>20850</v>
      </c>
      <c r="M20" s="178">
        <f>D20*$M$5</f>
        <v>39078.899999999994</v>
      </c>
      <c r="N20" s="254">
        <f>D20-M20</f>
        <v>16748.100000000006</v>
      </c>
      <c r="O20" s="178">
        <f>D20/1.3</f>
        <v>42943.846153846149</v>
      </c>
      <c r="P20" s="178">
        <f t="shared" si="3"/>
        <v>30060.692307692301</v>
      </c>
      <c r="Q20" s="254">
        <f t="shared" si="4"/>
        <v>12883.153846153848</v>
      </c>
      <c r="R20" s="178"/>
      <c r="S20" s="254">
        <f t="shared" si="5"/>
        <v>11723.670000000004</v>
      </c>
    </row>
    <row r="21" spans="2:19" x14ac:dyDescent="0.2">
      <c r="B21" s="110"/>
      <c r="C21" s="111" t="s">
        <v>16</v>
      </c>
      <c r="D21" s="229">
        <v>112370</v>
      </c>
      <c r="E21" s="229">
        <v>65720</v>
      </c>
      <c r="F21" s="229">
        <v>58800</v>
      </c>
      <c r="G21" s="229"/>
      <c r="H21" s="229">
        <v>41700</v>
      </c>
      <c r="I21" s="229">
        <v>36590</v>
      </c>
      <c r="J21" s="229">
        <v>24180</v>
      </c>
      <c r="K21" s="249">
        <v>24180</v>
      </c>
      <c r="M21" s="178">
        <f>D21*$M$5</f>
        <v>78659</v>
      </c>
      <c r="N21" s="255">
        <f>D21-M21</f>
        <v>33711</v>
      </c>
      <c r="O21" s="178">
        <f>D21/1.3</f>
        <v>86438.461538461532</v>
      </c>
      <c r="P21" s="178">
        <f t="shared" si="3"/>
        <v>60506.923076923071</v>
      </c>
      <c r="Q21" s="255">
        <f t="shared" si="4"/>
        <v>25931.538461538461</v>
      </c>
      <c r="R21" s="178"/>
      <c r="S21" s="255">
        <f t="shared" si="5"/>
        <v>23597.699999999997</v>
      </c>
    </row>
    <row r="22" spans="2:19" x14ac:dyDescent="0.2">
      <c r="B22" s="110"/>
      <c r="C22" s="111" t="s">
        <v>17</v>
      </c>
      <c r="D22" s="229">
        <v>445109</v>
      </c>
      <c r="E22" s="229">
        <v>410500</v>
      </c>
      <c r="F22" s="229">
        <v>275400</v>
      </c>
      <c r="G22" s="229"/>
      <c r="H22" s="229">
        <v>123700</v>
      </c>
      <c r="I22" s="229">
        <v>209010</v>
      </c>
      <c r="J22" s="229">
        <v>182585</v>
      </c>
      <c r="K22" s="249">
        <v>138820</v>
      </c>
      <c r="M22" s="178">
        <f>D22*$M$5</f>
        <v>311576.3</v>
      </c>
      <c r="N22" s="255">
        <f>D22-M22</f>
        <v>133532.70000000001</v>
      </c>
      <c r="O22" s="178">
        <f>D22/1.3</f>
        <v>342391.53846153844</v>
      </c>
      <c r="P22" s="178">
        <f t="shared" si="3"/>
        <v>239674.07692307688</v>
      </c>
      <c r="Q22" s="255">
        <f t="shared" si="4"/>
        <v>102717.46153846156</v>
      </c>
      <c r="R22" s="178"/>
      <c r="S22" s="255">
        <f t="shared" si="5"/>
        <v>93472.89</v>
      </c>
    </row>
    <row r="23" spans="2:19" x14ac:dyDescent="0.2">
      <c r="B23" s="110"/>
      <c r="C23" s="111" t="s">
        <v>18</v>
      </c>
      <c r="D23" s="229">
        <v>114716</v>
      </c>
      <c r="E23" s="229">
        <v>112660</v>
      </c>
      <c r="F23" s="229">
        <v>60600</v>
      </c>
      <c r="G23" s="229"/>
      <c r="H23" s="229">
        <v>49110</v>
      </c>
      <c r="I23" s="229">
        <v>43058</v>
      </c>
      <c r="J23" s="229">
        <v>28450</v>
      </c>
      <c r="K23" s="249">
        <v>15280</v>
      </c>
      <c r="M23" s="178">
        <f>D23*$M$5</f>
        <v>80301.2</v>
      </c>
      <c r="N23" s="255">
        <f>D23-M23</f>
        <v>34414.800000000003</v>
      </c>
      <c r="O23" s="178">
        <f>D23/1.3</f>
        <v>88243.076923076922</v>
      </c>
      <c r="P23" s="178">
        <f t="shared" si="3"/>
        <v>61770.153846153844</v>
      </c>
      <c r="Q23" s="255">
        <f t="shared" si="4"/>
        <v>26472.923076923078</v>
      </c>
      <c r="R23" s="178"/>
      <c r="S23" s="255">
        <f t="shared" si="5"/>
        <v>24090.36</v>
      </c>
    </row>
    <row r="24" spans="2:19" ht="13.5" thickBot="1" x14ac:dyDescent="0.25">
      <c r="B24" s="110"/>
      <c r="C24" s="111" t="s">
        <v>19</v>
      </c>
      <c r="D24" s="229">
        <v>138116</v>
      </c>
      <c r="E24" s="229">
        <v>116410</v>
      </c>
      <c r="F24" s="229">
        <v>46300</v>
      </c>
      <c r="G24" s="229"/>
      <c r="H24" s="229">
        <v>27638</v>
      </c>
      <c r="I24" s="229">
        <v>28432</v>
      </c>
      <c r="J24" s="229">
        <v>15070</v>
      </c>
      <c r="K24" s="249">
        <v>15070</v>
      </c>
      <c r="M24" s="178">
        <f>D24*$M$5</f>
        <v>96681.2</v>
      </c>
      <c r="N24" s="256">
        <f>D24-M24</f>
        <v>41434.800000000003</v>
      </c>
      <c r="O24" s="178">
        <f>D24/1.3</f>
        <v>106243.07692307692</v>
      </c>
      <c r="P24" s="178">
        <f t="shared" si="3"/>
        <v>74370.153846153844</v>
      </c>
      <c r="Q24" s="256">
        <f t="shared" si="4"/>
        <v>31872.923076923078</v>
      </c>
      <c r="R24" s="178"/>
      <c r="S24" s="256">
        <f t="shared" si="5"/>
        <v>29004.36</v>
      </c>
    </row>
    <row r="25" spans="2:19" x14ac:dyDescent="0.2">
      <c r="B25" s="110"/>
      <c r="C25" s="113" t="s">
        <v>59</v>
      </c>
      <c r="D25" s="71"/>
      <c r="E25" s="71"/>
      <c r="F25" s="7"/>
      <c r="G25" s="7"/>
      <c r="H25" s="7"/>
      <c r="I25" s="7"/>
      <c r="J25" s="7"/>
    </row>
    <row r="26" spans="2:19" x14ac:dyDescent="0.2">
      <c r="B26" s="114" t="s">
        <v>39</v>
      </c>
      <c r="C26" s="115"/>
      <c r="D26" s="71"/>
      <c r="E26" s="71"/>
      <c r="F26" s="7"/>
      <c r="G26" s="7"/>
      <c r="H26" s="7"/>
      <c r="I26" s="7"/>
      <c r="J26" s="7"/>
    </row>
    <row r="27" spans="2:19" x14ac:dyDescent="0.2">
      <c r="B27" s="114"/>
      <c r="C27" s="115" t="s">
        <v>110</v>
      </c>
      <c r="D27" s="229">
        <v>6190000</v>
      </c>
      <c r="E27" s="229">
        <v>5262101</v>
      </c>
      <c r="F27" s="229">
        <v>3128403</v>
      </c>
      <c r="G27" s="229"/>
      <c r="H27" s="229"/>
      <c r="I27" s="229"/>
      <c r="J27" s="229">
        <v>1854049</v>
      </c>
    </row>
    <row r="28" spans="2:19" x14ac:dyDescent="0.2">
      <c r="B28" s="114"/>
      <c r="C28" s="115" t="s">
        <v>377</v>
      </c>
      <c r="D28" s="229">
        <v>4860000</v>
      </c>
      <c r="E28" s="229">
        <v>4074842</v>
      </c>
      <c r="F28" s="229">
        <v>2480641</v>
      </c>
      <c r="G28" s="229"/>
      <c r="H28" s="229"/>
      <c r="I28" s="229"/>
      <c r="J28" s="229">
        <v>1451140</v>
      </c>
    </row>
    <row r="29" spans="2:19" x14ac:dyDescent="0.2">
      <c r="B29" s="114"/>
      <c r="C29" s="115" t="s">
        <v>378</v>
      </c>
      <c r="D29" s="229">
        <v>6250000</v>
      </c>
      <c r="E29" s="229">
        <v>7123866</v>
      </c>
      <c r="F29" s="229">
        <v>4121084</v>
      </c>
      <c r="G29" s="229"/>
      <c r="H29" s="229"/>
      <c r="I29" s="229"/>
      <c r="J29" s="229">
        <v>2306818</v>
      </c>
    </row>
    <row r="30" spans="2:19" x14ac:dyDescent="0.2">
      <c r="B30" s="114"/>
      <c r="C30" s="115" t="s">
        <v>379</v>
      </c>
      <c r="D30" s="229">
        <v>3250000</v>
      </c>
      <c r="E30" s="229">
        <v>3473246</v>
      </c>
      <c r="F30" s="229">
        <v>1961987</v>
      </c>
      <c r="G30" s="229"/>
      <c r="H30" s="229"/>
      <c r="I30" s="229"/>
      <c r="J30" s="229">
        <v>1038896</v>
      </c>
    </row>
    <row r="31" spans="2:19" x14ac:dyDescent="0.2">
      <c r="B31" s="114"/>
      <c r="C31" s="115" t="s">
        <v>380</v>
      </c>
      <c r="D31" s="229">
        <v>2266000</v>
      </c>
      <c r="E31" s="229">
        <v>2454199</v>
      </c>
      <c r="F31" s="229">
        <v>1619313</v>
      </c>
      <c r="G31" s="229"/>
      <c r="H31" s="229"/>
      <c r="I31" s="229"/>
      <c r="J31" s="229">
        <v>582646</v>
      </c>
    </row>
    <row r="32" spans="2:19" x14ac:dyDescent="0.2">
      <c r="B32" s="110"/>
      <c r="C32" s="112"/>
      <c r="D32" s="71"/>
      <c r="E32" s="71"/>
      <c r="F32" s="7"/>
      <c r="G32" s="7"/>
      <c r="H32" s="7"/>
      <c r="I32" s="7"/>
      <c r="J32" s="7"/>
    </row>
    <row r="33" spans="2:10" x14ac:dyDescent="0.2">
      <c r="B33" s="110"/>
      <c r="C33" s="112" t="s">
        <v>60</v>
      </c>
      <c r="D33" s="71"/>
      <c r="E33" s="71"/>
      <c r="F33" s="7"/>
      <c r="G33" s="7"/>
      <c r="H33" s="7"/>
      <c r="I33" s="7"/>
      <c r="J33" s="7"/>
    </row>
    <row r="34" spans="2:10" x14ac:dyDescent="0.2">
      <c r="B34" s="110"/>
      <c r="C34" s="111" t="s">
        <v>20</v>
      </c>
      <c r="D34" s="71"/>
      <c r="E34" s="71"/>
      <c r="F34" s="7"/>
      <c r="G34" s="7"/>
      <c r="H34" s="7"/>
      <c r="I34" s="7"/>
      <c r="J34" s="7"/>
    </row>
    <row r="35" spans="2:10" x14ac:dyDescent="0.2">
      <c r="B35" s="860" t="s">
        <v>66</v>
      </c>
      <c r="C35" s="860"/>
      <c r="D35" s="71"/>
      <c r="E35" s="71"/>
      <c r="F35" s="7"/>
      <c r="G35" s="7"/>
      <c r="H35" s="7"/>
      <c r="I35" s="7"/>
      <c r="J35" s="7"/>
    </row>
    <row r="36" spans="2:10" x14ac:dyDescent="0.2">
      <c r="B36" s="110"/>
      <c r="C36" s="111" t="s">
        <v>21</v>
      </c>
      <c r="D36" s="71">
        <v>757443</v>
      </c>
      <c r="E36" s="71"/>
      <c r="F36" s="7"/>
      <c r="G36" s="7"/>
      <c r="H36" s="7"/>
      <c r="I36" s="7"/>
      <c r="J36" s="7"/>
    </row>
    <row r="37" spans="2:10" x14ac:dyDescent="0.2">
      <c r="B37" s="110"/>
      <c r="C37" s="111" t="s">
        <v>22</v>
      </c>
      <c r="D37" s="71">
        <v>868518</v>
      </c>
      <c r="E37" s="71"/>
      <c r="F37" s="7"/>
      <c r="G37" s="7"/>
      <c r="H37" s="7"/>
      <c r="I37" s="7"/>
      <c r="J37" s="7"/>
    </row>
    <row r="38" spans="2:10" x14ac:dyDescent="0.2">
      <c r="B38" s="110"/>
      <c r="C38" s="111" t="s">
        <v>23</v>
      </c>
      <c r="D38" s="71">
        <v>524958</v>
      </c>
      <c r="E38" s="71"/>
      <c r="F38" s="7"/>
      <c r="G38" s="7"/>
      <c r="H38" s="7"/>
      <c r="I38" s="7"/>
      <c r="J38" s="7"/>
    </row>
    <row r="39" spans="2:10" x14ac:dyDescent="0.2">
      <c r="B39" s="110"/>
      <c r="C39" s="111" t="s">
        <v>24</v>
      </c>
      <c r="D39" s="71"/>
      <c r="E39" s="71"/>
      <c r="F39" s="7"/>
      <c r="G39" s="7"/>
      <c r="H39" s="7"/>
      <c r="I39" s="7"/>
      <c r="J39" s="7"/>
    </row>
    <row r="40" spans="2:10" x14ac:dyDescent="0.2">
      <c r="B40" s="110"/>
      <c r="C40" s="111" t="s">
        <v>25</v>
      </c>
      <c r="D40" s="71"/>
      <c r="E40" s="71"/>
      <c r="F40" s="7"/>
      <c r="G40" s="7"/>
      <c r="H40" s="7"/>
      <c r="I40" s="7"/>
      <c r="J40" s="7"/>
    </row>
    <row r="41" spans="2:10" x14ac:dyDescent="0.2">
      <c r="B41" s="110"/>
      <c r="C41" s="111" t="s">
        <v>26</v>
      </c>
      <c r="D41" s="71"/>
      <c r="E41" s="71"/>
      <c r="F41" s="7"/>
      <c r="G41" s="7"/>
      <c r="H41" s="7"/>
      <c r="I41" s="7"/>
      <c r="J41" s="7"/>
    </row>
    <row r="42" spans="2:10" x14ac:dyDescent="0.2">
      <c r="B42" s="110"/>
      <c r="C42" s="111" t="s">
        <v>27</v>
      </c>
      <c r="D42" s="71"/>
      <c r="E42" s="71"/>
      <c r="F42" s="7"/>
      <c r="G42" s="7"/>
      <c r="H42" s="7"/>
      <c r="I42" s="7"/>
      <c r="J42" s="7"/>
    </row>
    <row r="43" spans="2:10" x14ac:dyDescent="0.2">
      <c r="B43" s="110"/>
      <c r="C43" s="111" t="s">
        <v>28</v>
      </c>
      <c r="D43" s="71"/>
      <c r="E43" s="71"/>
      <c r="F43" s="7"/>
      <c r="G43" s="7"/>
      <c r="H43" s="7"/>
      <c r="I43" s="7"/>
      <c r="J43" s="7"/>
    </row>
    <row r="44" spans="2:10" x14ac:dyDescent="0.2">
      <c r="B44" s="860" t="s">
        <v>67</v>
      </c>
      <c r="C44" s="860"/>
      <c r="D44" s="71"/>
      <c r="E44" s="71"/>
      <c r="F44" s="7"/>
      <c r="G44" s="7"/>
      <c r="H44" s="7"/>
      <c r="I44" s="7"/>
      <c r="J44" s="7"/>
    </row>
    <row r="45" spans="2:10" x14ac:dyDescent="0.2">
      <c r="B45" s="110"/>
      <c r="C45" s="111" t="s">
        <v>29</v>
      </c>
      <c r="D45" s="71"/>
      <c r="E45" s="71"/>
      <c r="F45" s="7"/>
      <c r="G45" s="7"/>
      <c r="H45" s="7"/>
      <c r="I45" s="7"/>
      <c r="J45" s="7"/>
    </row>
    <row r="46" spans="2:10" x14ac:dyDescent="0.2">
      <c r="B46" s="110"/>
      <c r="C46" s="111"/>
      <c r="D46" s="71"/>
      <c r="E46" s="71"/>
      <c r="F46" s="7"/>
      <c r="G46" s="7"/>
      <c r="H46" s="7"/>
      <c r="I46" s="7"/>
      <c r="J46" s="7"/>
    </row>
    <row r="47" spans="2:10" x14ac:dyDescent="0.2">
      <c r="B47" s="110"/>
      <c r="C47" s="112" t="s">
        <v>61</v>
      </c>
      <c r="D47" s="71"/>
      <c r="E47" s="71"/>
      <c r="F47" s="7"/>
      <c r="G47" s="7"/>
      <c r="H47" s="7"/>
      <c r="I47" s="7"/>
      <c r="J47" s="7"/>
    </row>
    <row r="48" spans="2:10" x14ac:dyDescent="0.2">
      <c r="B48" s="110"/>
      <c r="C48" s="111" t="s">
        <v>30</v>
      </c>
      <c r="D48" s="71"/>
      <c r="E48" s="71"/>
      <c r="F48" s="7"/>
      <c r="G48" s="7"/>
      <c r="H48" s="7"/>
      <c r="I48" s="7"/>
      <c r="J48" s="7"/>
    </row>
    <row r="49" spans="2:10" x14ac:dyDescent="0.2">
      <c r="B49" s="110"/>
      <c r="C49" s="111" t="s">
        <v>31</v>
      </c>
      <c r="D49" s="71"/>
      <c r="E49" s="71"/>
      <c r="F49" s="7"/>
      <c r="G49" s="7"/>
      <c r="H49" s="7"/>
      <c r="I49" s="7"/>
      <c r="J49" s="7"/>
    </row>
    <row r="50" spans="2:10" x14ac:dyDescent="0.2">
      <c r="B50" s="110"/>
      <c r="C50" s="111" t="s">
        <v>32</v>
      </c>
      <c r="D50" s="71"/>
      <c r="E50" s="71"/>
      <c r="F50" s="7"/>
      <c r="G50" s="7"/>
      <c r="H50" s="7"/>
      <c r="I50" s="7"/>
      <c r="J50" s="7"/>
    </row>
    <row r="51" spans="2:10" x14ac:dyDescent="0.2">
      <c r="B51" s="110"/>
      <c r="C51" s="111" t="s">
        <v>33</v>
      </c>
      <c r="D51" s="71"/>
      <c r="E51" s="71"/>
      <c r="F51" s="7"/>
      <c r="G51" s="7"/>
      <c r="H51" s="7"/>
      <c r="I51" s="7"/>
      <c r="J51" s="7"/>
    </row>
    <row r="52" spans="2:10" x14ac:dyDescent="0.2">
      <c r="B52" s="110"/>
      <c r="C52" s="111" t="s">
        <v>34</v>
      </c>
      <c r="D52" s="71"/>
      <c r="E52" s="71"/>
      <c r="F52" s="7"/>
      <c r="G52" s="7"/>
      <c r="H52" s="7"/>
      <c r="I52" s="7"/>
      <c r="J52" s="7"/>
    </row>
    <row r="53" spans="2:10" x14ac:dyDescent="0.2">
      <c r="B53" s="110"/>
      <c r="C53" s="111" t="s">
        <v>35</v>
      </c>
      <c r="D53" s="71"/>
      <c r="E53" s="71"/>
      <c r="F53" s="7"/>
      <c r="G53" s="7"/>
      <c r="H53" s="7"/>
      <c r="I53" s="7"/>
      <c r="J53" s="7"/>
    </row>
    <row r="54" spans="2:10" x14ac:dyDescent="0.2">
      <c r="B54" s="110"/>
      <c r="C54" s="111" t="s">
        <v>36</v>
      </c>
      <c r="D54" s="71"/>
      <c r="E54" s="71"/>
      <c r="F54" s="7"/>
      <c r="G54" s="7"/>
      <c r="H54" s="7"/>
      <c r="I54" s="7"/>
      <c r="J54" s="7"/>
    </row>
    <row r="55" spans="2:10" x14ac:dyDescent="0.2">
      <c r="B55" s="110"/>
      <c r="C55" s="111" t="s">
        <v>37</v>
      </c>
      <c r="D55" s="71"/>
      <c r="E55" s="71"/>
      <c r="F55" s="7"/>
      <c r="G55" s="7"/>
      <c r="H55" s="7"/>
      <c r="I55" s="7"/>
      <c r="J55" s="7"/>
    </row>
    <row r="56" spans="2:10" x14ac:dyDescent="0.2">
      <c r="B56" s="110"/>
      <c r="C56" s="111" t="s">
        <v>38</v>
      </c>
      <c r="D56" s="71"/>
      <c r="E56" s="71"/>
      <c r="F56" s="7"/>
      <c r="G56" s="7"/>
      <c r="H56" s="7"/>
      <c r="I56" s="7"/>
      <c r="J56" s="7"/>
    </row>
    <row r="57" spans="2:10" x14ac:dyDescent="0.2">
      <c r="B57" s="110"/>
      <c r="C57" s="112" t="s">
        <v>5</v>
      </c>
      <c r="D57" s="71"/>
      <c r="E57" s="71"/>
      <c r="F57" s="7"/>
      <c r="G57" s="7"/>
      <c r="H57" s="7"/>
      <c r="I57" s="7"/>
      <c r="J57" s="7"/>
    </row>
    <row r="58" spans="2:10" x14ac:dyDescent="0.2">
      <c r="B58" s="110"/>
      <c r="C58" s="112" t="s">
        <v>77</v>
      </c>
      <c r="D58" s="71"/>
      <c r="E58" s="71"/>
      <c r="F58" s="7"/>
      <c r="G58" s="7"/>
      <c r="H58" s="7"/>
      <c r="I58" s="7"/>
      <c r="J58" s="7"/>
    </row>
    <row r="59" spans="2:10" x14ac:dyDescent="0.2">
      <c r="B59" s="110"/>
      <c r="C59" s="112" t="s">
        <v>64</v>
      </c>
      <c r="D59" s="71"/>
      <c r="E59" s="71"/>
      <c r="F59" s="7"/>
      <c r="G59" s="7"/>
      <c r="H59" s="7"/>
      <c r="I59" s="7"/>
      <c r="J59" s="7"/>
    </row>
    <row r="60" spans="2:10" x14ac:dyDescent="0.2">
      <c r="B60" s="110"/>
      <c r="C60" s="110"/>
      <c r="D60" s="71"/>
      <c r="E60" s="71"/>
      <c r="F60" s="7"/>
      <c r="G60" s="7"/>
      <c r="H60" s="7"/>
      <c r="I60" s="7"/>
      <c r="J60" s="7"/>
    </row>
    <row r="61" spans="2:10" x14ac:dyDescent="0.2">
      <c r="B61" s="110"/>
      <c r="C61" s="112" t="s">
        <v>62</v>
      </c>
      <c r="D61" s="71"/>
      <c r="E61" s="71"/>
      <c r="F61" s="7"/>
      <c r="G61" s="7"/>
      <c r="H61" s="7"/>
      <c r="I61" s="7"/>
      <c r="J61" s="7"/>
    </row>
    <row r="62" spans="2:10" x14ac:dyDescent="0.2">
      <c r="B62" s="110"/>
      <c r="C62" s="111" t="s">
        <v>20</v>
      </c>
      <c r="D62" s="71"/>
      <c r="E62" s="71"/>
      <c r="F62" s="7"/>
      <c r="G62" s="7"/>
      <c r="H62" s="7"/>
      <c r="I62" s="7"/>
      <c r="J62" s="7"/>
    </row>
    <row r="63" spans="2:10" x14ac:dyDescent="0.2">
      <c r="B63" s="110"/>
      <c r="C63" s="111" t="s">
        <v>40</v>
      </c>
      <c r="D63" s="71"/>
      <c r="E63" s="71"/>
      <c r="F63" s="7"/>
      <c r="G63" s="7"/>
      <c r="H63" s="7"/>
      <c r="I63" s="7"/>
      <c r="J63" s="7"/>
    </row>
    <row r="64" spans="2:10" x14ac:dyDescent="0.2">
      <c r="B64" s="110"/>
      <c r="C64" s="111" t="s">
        <v>41</v>
      </c>
      <c r="D64" s="71"/>
      <c r="E64" s="71"/>
      <c r="F64" s="7"/>
      <c r="G64" s="7"/>
      <c r="H64" s="7"/>
      <c r="I64" s="7"/>
      <c r="J64" s="7"/>
    </row>
    <row r="65" spans="2:10" x14ac:dyDescent="0.2">
      <c r="B65" s="110"/>
      <c r="C65" s="111" t="s">
        <v>24</v>
      </c>
      <c r="D65" s="71"/>
      <c r="E65" s="71"/>
      <c r="F65" s="7"/>
      <c r="G65" s="7"/>
      <c r="H65" s="7"/>
      <c r="I65" s="7"/>
      <c r="J65" s="7"/>
    </row>
    <row r="66" spans="2:10" x14ac:dyDescent="0.2">
      <c r="B66" s="110"/>
      <c r="C66" s="111" t="s">
        <v>25</v>
      </c>
      <c r="D66" s="71"/>
      <c r="E66" s="71"/>
      <c r="F66" s="7"/>
      <c r="G66" s="7"/>
      <c r="H66" s="7"/>
      <c r="I66" s="7"/>
      <c r="J66" s="7"/>
    </row>
    <row r="67" spans="2:10" x14ac:dyDescent="0.2">
      <c r="B67" s="110"/>
      <c r="C67" s="111" t="s">
        <v>42</v>
      </c>
      <c r="D67" s="71"/>
      <c r="E67" s="71"/>
      <c r="F67" s="7"/>
      <c r="G67" s="7"/>
      <c r="H67" s="7"/>
      <c r="I67" s="7"/>
      <c r="J67" s="7"/>
    </row>
    <row r="68" spans="2:10" x14ac:dyDescent="0.2">
      <c r="B68" s="110"/>
      <c r="C68" s="112"/>
      <c r="D68" s="71"/>
      <c r="E68" s="71"/>
      <c r="F68" s="7"/>
      <c r="G68" s="7"/>
      <c r="H68" s="7"/>
      <c r="I68" s="7"/>
      <c r="J68" s="7"/>
    </row>
    <row r="69" spans="2:10" x14ac:dyDescent="0.2">
      <c r="B69" s="110"/>
      <c r="C69" s="112" t="s">
        <v>63</v>
      </c>
      <c r="D69" s="71"/>
      <c r="E69" s="71"/>
      <c r="F69" s="7"/>
      <c r="G69" s="7"/>
      <c r="H69" s="7"/>
      <c r="I69" s="7"/>
      <c r="J69" s="7"/>
    </row>
    <row r="70" spans="2:10" x14ac:dyDescent="0.2">
      <c r="B70" s="110"/>
      <c r="C70" s="111" t="s">
        <v>30</v>
      </c>
      <c r="D70" s="71"/>
      <c r="E70" s="71"/>
      <c r="F70" s="7"/>
      <c r="G70" s="7"/>
      <c r="H70" s="7"/>
      <c r="I70" s="7"/>
      <c r="J70" s="7"/>
    </row>
    <row r="71" spans="2:10" x14ac:dyDescent="0.2">
      <c r="B71" s="110"/>
      <c r="C71" s="111" t="s">
        <v>43</v>
      </c>
      <c r="D71" s="71"/>
      <c r="E71" s="71"/>
      <c r="F71" s="7"/>
      <c r="G71" s="7"/>
      <c r="H71" s="7"/>
      <c r="I71" s="7"/>
      <c r="J71" s="7"/>
    </row>
    <row r="72" spans="2:10" x14ac:dyDescent="0.2">
      <c r="B72" s="110"/>
      <c r="C72" s="111" t="s">
        <v>44</v>
      </c>
      <c r="D72" s="71"/>
      <c r="E72" s="71"/>
      <c r="F72" s="7"/>
      <c r="G72" s="7"/>
      <c r="H72" s="7"/>
      <c r="I72" s="7"/>
      <c r="J72" s="7"/>
    </row>
    <row r="73" spans="2:10" x14ac:dyDescent="0.2">
      <c r="B73" s="110"/>
      <c r="C73" s="111" t="s">
        <v>37</v>
      </c>
      <c r="D73" s="71"/>
      <c r="E73" s="71"/>
      <c r="F73" s="7"/>
      <c r="G73" s="7"/>
      <c r="H73" s="7"/>
      <c r="I73" s="7"/>
      <c r="J73" s="7"/>
    </row>
    <row r="74" spans="2:10" x14ac:dyDescent="0.2">
      <c r="B74" s="110"/>
      <c r="C74" s="111"/>
      <c r="D74" s="71"/>
      <c r="E74" s="71"/>
      <c r="F74" s="7"/>
      <c r="G74" s="7"/>
      <c r="H74" s="7"/>
      <c r="I74" s="7"/>
      <c r="J74" s="7"/>
    </row>
    <row r="75" spans="2:10" x14ac:dyDescent="0.2">
      <c r="B75" s="110"/>
      <c r="C75" s="115"/>
      <c r="D75" s="71"/>
      <c r="E75" s="71"/>
      <c r="F75" s="7"/>
      <c r="G75" s="7"/>
      <c r="H75" s="7"/>
      <c r="I75" s="7"/>
      <c r="J75" s="7"/>
    </row>
    <row r="76" spans="2:10" x14ac:dyDescent="0.2">
      <c r="B76" s="116" t="s">
        <v>78</v>
      </c>
      <c r="C76" s="118" t="s">
        <v>79</v>
      </c>
      <c r="D76" s="71"/>
      <c r="E76" s="71"/>
      <c r="F76" s="7"/>
      <c r="G76" s="7"/>
      <c r="H76" s="7"/>
      <c r="I76" s="7"/>
      <c r="J76" s="7"/>
    </row>
    <row r="77" spans="2:10" x14ac:dyDescent="0.2">
      <c r="B77" s="117"/>
      <c r="C77" s="119" t="s">
        <v>80</v>
      </c>
      <c r="D77" s="71"/>
      <c r="E77" s="71"/>
      <c r="F77" s="7"/>
      <c r="G77" s="7"/>
      <c r="H77" s="7"/>
      <c r="I77" s="7"/>
      <c r="J77" s="7"/>
    </row>
    <row r="78" spans="2:10" x14ac:dyDescent="0.2">
      <c r="B78" s="117"/>
      <c r="C78" s="119" t="s">
        <v>81</v>
      </c>
      <c r="D78" s="71"/>
      <c r="E78" s="71"/>
      <c r="F78" s="7"/>
      <c r="G78" s="7"/>
      <c r="H78" s="7"/>
      <c r="I78" s="7"/>
      <c r="J78" s="7"/>
    </row>
    <row r="79" spans="2:10" x14ac:dyDescent="0.2">
      <c r="B79" s="117"/>
      <c r="C79" s="120" t="s">
        <v>82</v>
      </c>
      <c r="D79" s="71"/>
      <c r="E79" s="71"/>
      <c r="F79" s="7"/>
      <c r="G79" s="7"/>
      <c r="H79" s="7"/>
      <c r="I79" s="7"/>
      <c r="J79" s="7"/>
    </row>
    <row r="80" spans="2:10" x14ac:dyDescent="0.2">
      <c r="B80" s="117"/>
      <c r="C80" s="121" t="s">
        <v>83</v>
      </c>
      <c r="D80" s="71"/>
      <c r="E80" s="71"/>
      <c r="F80" s="7"/>
      <c r="G80" s="7"/>
      <c r="H80" s="7"/>
      <c r="I80" s="7"/>
      <c r="J80" s="7"/>
    </row>
    <row r="81" spans="2:10" x14ac:dyDescent="0.2">
      <c r="B81" s="117"/>
      <c r="C81" s="117" t="s">
        <v>84</v>
      </c>
      <c r="D81" s="71"/>
      <c r="E81" s="71"/>
      <c r="F81" s="7"/>
      <c r="G81" s="7"/>
      <c r="H81" s="7"/>
      <c r="I81" s="7"/>
      <c r="J81" s="7"/>
    </row>
    <row r="82" spans="2:10" x14ac:dyDescent="0.2">
      <c r="B82" s="117"/>
      <c r="C82" s="117" t="s">
        <v>85</v>
      </c>
      <c r="D82" s="71"/>
      <c r="E82" s="71"/>
      <c r="F82" s="7"/>
      <c r="G82" s="7"/>
      <c r="H82" s="7"/>
      <c r="I82" s="7"/>
      <c r="J82" s="7"/>
    </row>
    <row r="83" spans="2:10" x14ac:dyDescent="0.2">
      <c r="B83" s="116" t="s">
        <v>149</v>
      </c>
      <c r="C83" s="118" t="s">
        <v>109</v>
      </c>
      <c r="D83" s="71"/>
      <c r="E83" s="71"/>
      <c r="F83" s="7"/>
      <c r="G83" s="7"/>
      <c r="H83" s="7"/>
      <c r="I83" s="7"/>
      <c r="J83" s="7"/>
    </row>
    <row r="84" spans="2:10" x14ac:dyDescent="0.2">
      <c r="B84" s="117"/>
      <c r="C84" s="122" t="s">
        <v>150</v>
      </c>
      <c r="D84" s="71"/>
      <c r="E84" s="71"/>
      <c r="F84" s="7"/>
      <c r="G84" s="7"/>
      <c r="H84" s="7"/>
      <c r="I84" s="7"/>
      <c r="J84" s="7"/>
    </row>
    <row r="85" spans="2:10" x14ac:dyDescent="0.2">
      <c r="B85" s="117"/>
      <c r="C85" s="122" t="s">
        <v>157</v>
      </c>
      <c r="D85" s="71"/>
      <c r="E85" s="71"/>
      <c r="F85" s="7"/>
      <c r="G85" s="7"/>
      <c r="H85" s="7"/>
      <c r="I85" s="7"/>
      <c r="J85" s="7"/>
    </row>
    <row r="86" spans="2:10" x14ac:dyDescent="0.2">
      <c r="B86" s="117"/>
      <c r="C86" s="120" t="s">
        <v>151</v>
      </c>
      <c r="D86" s="71"/>
      <c r="E86" s="71"/>
      <c r="F86" s="7"/>
      <c r="G86" s="7"/>
      <c r="H86" s="7"/>
      <c r="I86" s="7"/>
      <c r="J86" s="7"/>
    </row>
    <row r="87" spans="2:10" x14ac:dyDescent="0.2">
      <c r="B87" s="117"/>
      <c r="C87" s="120" t="s">
        <v>152</v>
      </c>
      <c r="D87" s="71"/>
      <c r="E87" s="71"/>
      <c r="F87" s="7"/>
      <c r="G87" s="7"/>
      <c r="H87" s="7"/>
      <c r="I87" s="7"/>
      <c r="J87" s="7"/>
    </row>
    <row r="88" spans="2:10" x14ac:dyDescent="0.2">
      <c r="B88" s="117"/>
      <c r="C88" s="120" t="s">
        <v>153</v>
      </c>
      <c r="D88" s="71"/>
      <c r="E88" s="71"/>
      <c r="F88" s="7"/>
      <c r="G88" s="7"/>
      <c r="H88" s="7"/>
      <c r="I88" s="7"/>
      <c r="J88" s="7"/>
    </row>
    <row r="89" spans="2:10" x14ac:dyDescent="0.2">
      <c r="B89" s="117"/>
      <c r="C89" s="120" t="s">
        <v>154</v>
      </c>
      <c r="D89" s="71"/>
      <c r="E89" s="71"/>
      <c r="F89" s="7"/>
      <c r="G89" s="7"/>
      <c r="H89" s="7"/>
      <c r="I89" s="7"/>
      <c r="J89" s="7"/>
    </row>
    <row r="90" spans="2:10" x14ac:dyDescent="0.2">
      <c r="B90" s="116" t="s">
        <v>155</v>
      </c>
      <c r="C90" s="123" t="s">
        <v>156</v>
      </c>
      <c r="D90" s="71"/>
      <c r="E90" s="71"/>
      <c r="F90" s="7"/>
      <c r="G90" s="7"/>
      <c r="H90" s="7"/>
      <c r="I90" s="7"/>
      <c r="J90" s="7"/>
    </row>
    <row r="91" spans="2:10" x14ac:dyDescent="0.2">
      <c r="B91" s="117"/>
      <c r="C91" s="122" t="s">
        <v>150</v>
      </c>
      <c r="D91" s="71"/>
      <c r="E91" s="71"/>
      <c r="F91" s="7"/>
      <c r="G91" s="7"/>
      <c r="H91" s="7"/>
      <c r="I91" s="7"/>
      <c r="J91" s="7"/>
    </row>
    <row r="92" spans="2:10" x14ac:dyDescent="0.2">
      <c r="B92" s="117"/>
      <c r="C92" s="122" t="s">
        <v>157</v>
      </c>
      <c r="D92" s="71"/>
      <c r="E92" s="71"/>
      <c r="F92" s="7"/>
      <c r="G92" s="7"/>
      <c r="H92" s="7"/>
      <c r="I92" s="7"/>
      <c r="J92" s="7"/>
    </row>
    <row r="93" spans="2:10" x14ac:dyDescent="0.2">
      <c r="B93" s="117"/>
      <c r="C93" s="120" t="s">
        <v>151</v>
      </c>
      <c r="D93" s="71"/>
      <c r="E93" s="71"/>
      <c r="F93" s="7"/>
      <c r="G93" s="7"/>
      <c r="H93" s="7"/>
      <c r="I93" s="7"/>
      <c r="J93" s="7"/>
    </row>
    <row r="94" spans="2:10" x14ac:dyDescent="0.2">
      <c r="B94" s="117"/>
      <c r="C94" s="120" t="s">
        <v>152</v>
      </c>
      <c r="D94" s="71"/>
      <c r="E94" s="71"/>
      <c r="F94" s="7"/>
      <c r="G94" s="7"/>
      <c r="H94" s="7"/>
      <c r="I94" s="7"/>
      <c r="J94" s="7"/>
    </row>
    <row r="95" spans="2:10" x14ac:dyDescent="0.2">
      <c r="B95" s="117"/>
      <c r="C95" s="120" t="s">
        <v>153</v>
      </c>
      <c r="D95" s="71"/>
      <c r="E95" s="71"/>
      <c r="F95" s="7"/>
      <c r="G95" s="7"/>
      <c r="H95" s="7"/>
      <c r="I95" s="7"/>
      <c r="J95" s="7"/>
    </row>
    <row r="96" spans="2:10" x14ac:dyDescent="0.2">
      <c r="B96" s="117"/>
      <c r="C96" s="120" t="s">
        <v>154</v>
      </c>
      <c r="D96" s="71"/>
      <c r="E96" s="71"/>
      <c r="F96" s="7"/>
      <c r="G96" s="7"/>
      <c r="H96" s="7"/>
      <c r="I96" s="7"/>
      <c r="J96" s="7"/>
    </row>
  </sheetData>
  <mergeCells count="5">
    <mergeCell ref="B35:C35"/>
    <mergeCell ref="B44:C44"/>
    <mergeCell ref="M4:N4"/>
    <mergeCell ref="O4:Q4"/>
    <mergeCell ref="R4:S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2"/>
  <sheetViews>
    <sheetView workbookViewId="0">
      <selection activeCell="G8" sqref="G8"/>
    </sheetView>
  </sheetViews>
  <sheetFormatPr baseColWidth="10" defaultColWidth="11.42578125" defaultRowHeight="12.75" x14ac:dyDescent="0.2"/>
  <cols>
    <col min="1" max="1" width="11.42578125" style="126"/>
    <col min="2" max="2" width="59.7109375" style="126" customWidth="1"/>
    <col min="3" max="3" width="32.85546875" style="126" bestFit="1" customWidth="1"/>
    <col min="4" max="4" width="19.7109375" style="126" bestFit="1" customWidth="1"/>
    <col min="5" max="5" width="18.5703125" style="126" bestFit="1" customWidth="1"/>
    <col min="6" max="16384" width="11.42578125" style="126"/>
  </cols>
  <sheetData>
    <row r="2" spans="2:7" ht="13.5" thickBot="1" x14ac:dyDescent="0.25"/>
    <row r="3" spans="2:7" x14ac:dyDescent="0.2">
      <c r="B3" s="128"/>
      <c r="C3" s="136"/>
      <c r="D3" s="136"/>
      <c r="E3" s="133" t="s">
        <v>217</v>
      </c>
    </row>
    <row r="4" spans="2:7" x14ac:dyDescent="0.2">
      <c r="B4" s="130" t="s">
        <v>241</v>
      </c>
      <c r="C4" s="137" t="s">
        <v>239</v>
      </c>
      <c r="D4" s="137" t="s">
        <v>240</v>
      </c>
      <c r="E4" s="134" t="s">
        <v>218</v>
      </c>
    </row>
    <row r="5" spans="2:7" x14ac:dyDescent="0.2">
      <c r="B5" s="130"/>
      <c r="C5" s="137"/>
      <c r="D5" s="137"/>
      <c r="E5" s="134" t="s">
        <v>219</v>
      </c>
    </row>
    <row r="6" spans="2:7" ht="13.5" thickBot="1" x14ac:dyDescent="0.25">
      <c r="B6" s="132"/>
      <c r="C6" s="138"/>
      <c r="D6" s="138"/>
      <c r="E6" s="135"/>
    </row>
    <row r="7" spans="2:7" ht="13.5" thickBot="1" x14ac:dyDescent="0.25">
      <c r="B7" s="139" t="s">
        <v>220</v>
      </c>
      <c r="C7" s="140"/>
      <c r="D7" s="140"/>
      <c r="E7" s="141"/>
    </row>
    <row r="8" spans="2:7" x14ac:dyDescent="0.2">
      <c r="B8" s="128" t="s">
        <v>221</v>
      </c>
      <c r="C8" s="158" t="s">
        <v>222</v>
      </c>
      <c r="D8" s="136"/>
      <c r="E8" s="129"/>
    </row>
    <row r="9" spans="2:7" x14ac:dyDescent="0.2">
      <c r="B9" s="130" t="s">
        <v>226</v>
      </c>
      <c r="C9" s="159" t="s">
        <v>223</v>
      </c>
      <c r="D9" s="137" t="s">
        <v>289</v>
      </c>
      <c r="E9" s="137" t="s">
        <v>289</v>
      </c>
    </row>
    <row r="10" spans="2:7" x14ac:dyDescent="0.2">
      <c r="B10" s="130" t="s">
        <v>227</v>
      </c>
      <c r="C10" s="159" t="s">
        <v>224</v>
      </c>
      <c r="D10" s="137"/>
      <c r="E10" s="131"/>
    </row>
    <row r="11" spans="2:7" ht="15.75" x14ac:dyDescent="0.25">
      <c r="B11" s="130" t="s">
        <v>228</v>
      </c>
      <c r="C11" s="159" t="s">
        <v>225</v>
      </c>
      <c r="D11" s="137"/>
      <c r="E11" s="131"/>
      <c r="G11" s="157"/>
    </row>
    <row r="12" spans="2:7" x14ac:dyDescent="0.2">
      <c r="B12" s="142" t="s">
        <v>94</v>
      </c>
      <c r="C12" s="159"/>
      <c r="D12" s="137"/>
      <c r="E12" s="131"/>
    </row>
    <row r="13" spans="2:7" x14ac:dyDescent="0.2">
      <c r="B13" s="130" t="s">
        <v>229</v>
      </c>
      <c r="C13" s="159"/>
      <c r="D13" s="137"/>
      <c r="E13" s="131"/>
    </row>
    <row r="14" spans="2:7" x14ac:dyDescent="0.2">
      <c r="B14" s="130" t="s">
        <v>230</v>
      </c>
      <c r="C14" s="159"/>
      <c r="D14" s="137"/>
      <c r="E14" s="131"/>
    </row>
    <row r="15" spans="2:7" x14ac:dyDescent="0.2">
      <c r="B15" s="130" t="s">
        <v>24</v>
      </c>
      <c r="C15" s="159"/>
      <c r="D15" s="137"/>
      <c r="E15" s="131"/>
    </row>
    <row r="16" spans="2:7" x14ac:dyDescent="0.2">
      <c r="B16" s="130" t="s">
        <v>231</v>
      </c>
      <c r="C16" s="159"/>
      <c r="D16" s="137"/>
      <c r="E16" s="131"/>
    </row>
    <row r="17" spans="2:5" ht="13.5" thickBot="1" x14ac:dyDescent="0.25">
      <c r="B17" s="130" t="s">
        <v>232</v>
      </c>
      <c r="C17" s="159"/>
      <c r="D17" s="137"/>
      <c r="E17" s="131"/>
    </row>
    <row r="18" spans="2:5" x14ac:dyDescent="0.2">
      <c r="B18" s="145" t="s">
        <v>243</v>
      </c>
      <c r="C18" s="146">
        <v>0.9</v>
      </c>
      <c r="D18" s="154" t="s">
        <v>242</v>
      </c>
      <c r="E18" s="148"/>
    </row>
    <row r="19" spans="2:5" x14ac:dyDescent="0.2">
      <c r="B19" s="149" t="s">
        <v>250</v>
      </c>
      <c r="C19" s="143">
        <v>0.9</v>
      </c>
      <c r="D19" s="155" t="s">
        <v>244</v>
      </c>
      <c r="E19" s="150"/>
    </row>
    <row r="20" spans="2:5" x14ac:dyDescent="0.2">
      <c r="B20" s="149" t="s">
        <v>251</v>
      </c>
      <c r="C20" s="143">
        <v>0.9</v>
      </c>
      <c r="D20" s="144" t="s">
        <v>246</v>
      </c>
      <c r="E20" s="150"/>
    </row>
    <row r="21" spans="2:5" x14ac:dyDescent="0.2">
      <c r="B21" s="149" t="s">
        <v>252</v>
      </c>
      <c r="C21" s="143">
        <v>0.9</v>
      </c>
      <c r="D21" s="144" t="s">
        <v>245</v>
      </c>
      <c r="E21" s="150"/>
    </row>
    <row r="22" spans="2:5" x14ac:dyDescent="0.2">
      <c r="B22" s="149" t="s">
        <v>253</v>
      </c>
      <c r="C22" s="143">
        <v>0.9</v>
      </c>
      <c r="D22" s="155" t="s">
        <v>247</v>
      </c>
      <c r="E22" s="150" t="s">
        <v>248</v>
      </c>
    </row>
    <row r="23" spans="2:5" ht="13.5" thickBot="1" x14ac:dyDescent="0.25">
      <c r="B23" s="151" t="s">
        <v>254</v>
      </c>
      <c r="C23" s="152">
        <v>0.9</v>
      </c>
      <c r="D23" s="156" t="s">
        <v>242</v>
      </c>
      <c r="E23" s="153" t="s">
        <v>249</v>
      </c>
    </row>
    <row r="24" spans="2:5" ht="13.5" thickBot="1" x14ac:dyDescent="0.25">
      <c r="B24" s="127" t="s">
        <v>233</v>
      </c>
      <c r="C24" s="124"/>
      <c r="D24" s="124"/>
      <c r="E24" s="124"/>
    </row>
    <row r="25" spans="2:5" x14ac:dyDescent="0.2">
      <c r="B25" s="145" t="s">
        <v>257</v>
      </c>
      <c r="C25" s="146">
        <v>0.7</v>
      </c>
      <c r="D25" s="147" t="s">
        <v>255</v>
      </c>
      <c r="E25" s="148"/>
    </row>
    <row r="26" spans="2:5" x14ac:dyDescent="0.2">
      <c r="B26" s="149" t="s">
        <v>258</v>
      </c>
      <c r="C26" s="143">
        <v>0.7</v>
      </c>
      <c r="D26" s="155" t="s">
        <v>242</v>
      </c>
      <c r="E26" s="150"/>
    </row>
    <row r="27" spans="2:5" x14ac:dyDescent="0.2">
      <c r="B27" s="149" t="s">
        <v>259</v>
      </c>
      <c r="C27" s="143">
        <v>0.7</v>
      </c>
      <c r="D27" s="155" t="s">
        <v>242</v>
      </c>
      <c r="E27" s="150"/>
    </row>
    <row r="28" spans="2:5" x14ac:dyDescent="0.2">
      <c r="B28" s="149" t="s">
        <v>243</v>
      </c>
      <c r="C28" s="143">
        <v>0.7</v>
      </c>
      <c r="D28" s="155" t="s">
        <v>242</v>
      </c>
      <c r="E28" s="150"/>
    </row>
    <row r="29" spans="2:5" x14ac:dyDescent="0.2">
      <c r="B29" s="149" t="s">
        <v>260</v>
      </c>
      <c r="C29" s="143">
        <v>0.7</v>
      </c>
      <c r="D29" s="155" t="s">
        <v>242</v>
      </c>
      <c r="E29" s="150" t="s">
        <v>256</v>
      </c>
    </row>
    <row r="30" spans="2:5" x14ac:dyDescent="0.2">
      <c r="B30" s="149" t="s">
        <v>261</v>
      </c>
      <c r="C30" s="143">
        <v>0.7</v>
      </c>
      <c r="D30" s="155" t="s">
        <v>242</v>
      </c>
      <c r="E30" s="150" t="s">
        <v>256</v>
      </c>
    </row>
    <row r="31" spans="2:5" x14ac:dyDescent="0.2">
      <c r="B31" s="149" t="s">
        <v>264</v>
      </c>
      <c r="C31" s="143">
        <v>0.7</v>
      </c>
      <c r="D31" s="155" t="s">
        <v>242</v>
      </c>
      <c r="E31" s="150" t="s">
        <v>262</v>
      </c>
    </row>
    <row r="32" spans="2:5" x14ac:dyDescent="0.2">
      <c r="B32" s="149" t="s">
        <v>265</v>
      </c>
      <c r="C32" s="143">
        <v>0.7</v>
      </c>
      <c r="D32" s="155" t="s">
        <v>242</v>
      </c>
      <c r="E32" s="150"/>
    </row>
    <row r="33" spans="2:5" x14ac:dyDescent="0.2">
      <c r="B33" s="149" t="s">
        <v>266</v>
      </c>
      <c r="C33" s="143">
        <v>0.7</v>
      </c>
      <c r="D33" s="155" t="s">
        <v>242</v>
      </c>
      <c r="E33" s="150" t="s">
        <v>263</v>
      </c>
    </row>
    <row r="34" spans="2:5" x14ac:dyDescent="0.2">
      <c r="B34" s="149" t="s">
        <v>250</v>
      </c>
      <c r="C34" s="143">
        <v>0.9</v>
      </c>
      <c r="D34" s="155" t="s">
        <v>244</v>
      </c>
      <c r="E34" s="150"/>
    </row>
    <row r="35" spans="2:5" x14ac:dyDescent="0.2">
      <c r="B35" s="149" t="s">
        <v>267</v>
      </c>
      <c r="C35" s="143">
        <v>0.9</v>
      </c>
      <c r="D35" s="155" t="s">
        <v>242</v>
      </c>
      <c r="E35" s="150"/>
    </row>
    <row r="36" spans="2:5" x14ac:dyDescent="0.2">
      <c r="B36" s="149" t="s">
        <v>268</v>
      </c>
      <c r="C36" s="144"/>
      <c r="D36" s="144"/>
      <c r="E36" s="150"/>
    </row>
    <row r="37" spans="2:5" ht="13.5" thickBot="1" x14ac:dyDescent="0.25">
      <c r="B37" s="151" t="s">
        <v>232</v>
      </c>
      <c r="C37" s="862" t="s">
        <v>234</v>
      </c>
      <c r="D37" s="862"/>
      <c r="E37" s="153"/>
    </row>
    <row r="38" spans="2:5" ht="13.5" thickBot="1" x14ac:dyDescent="0.25">
      <c r="B38" s="127" t="s">
        <v>235</v>
      </c>
      <c r="C38" s="124"/>
      <c r="D38" s="124"/>
      <c r="E38" s="124"/>
    </row>
    <row r="39" spans="2:5" x14ac:dyDescent="0.2">
      <c r="B39" s="145" t="s">
        <v>275</v>
      </c>
      <c r="C39" s="146">
        <v>0.7</v>
      </c>
      <c r="D39" s="147" t="s">
        <v>269</v>
      </c>
      <c r="E39" s="148" t="s">
        <v>270</v>
      </c>
    </row>
    <row r="40" spans="2:5" x14ac:dyDescent="0.2">
      <c r="B40" s="149" t="s">
        <v>276</v>
      </c>
      <c r="C40" s="143">
        <v>0.9</v>
      </c>
      <c r="D40" s="144" t="s">
        <v>269</v>
      </c>
      <c r="E40" s="150" t="s">
        <v>271</v>
      </c>
    </row>
    <row r="41" spans="2:5" x14ac:dyDescent="0.2">
      <c r="B41" s="149" t="s">
        <v>277</v>
      </c>
      <c r="C41" s="143">
        <v>0.9</v>
      </c>
      <c r="D41" s="144" t="s">
        <v>272</v>
      </c>
      <c r="E41" s="150" t="s">
        <v>273</v>
      </c>
    </row>
    <row r="42" spans="2:5" x14ac:dyDescent="0.2">
      <c r="B42" s="149" t="s">
        <v>278</v>
      </c>
      <c r="C42" s="863" t="s">
        <v>274</v>
      </c>
      <c r="D42" s="863"/>
      <c r="E42" s="150"/>
    </row>
    <row r="43" spans="2:5" ht="13.5" thickBot="1" x14ac:dyDescent="0.25">
      <c r="B43" s="151" t="s">
        <v>279</v>
      </c>
      <c r="C43" s="864" t="s">
        <v>274</v>
      </c>
      <c r="D43" s="864"/>
      <c r="E43" s="153"/>
    </row>
    <row r="44" spans="2:5" ht="13.5" thickBot="1" x14ac:dyDescent="0.25">
      <c r="B44" s="127" t="s">
        <v>236</v>
      </c>
      <c r="C44" s="124"/>
      <c r="D44" s="124"/>
      <c r="E44" s="124"/>
    </row>
    <row r="45" spans="2:5" x14ac:dyDescent="0.2">
      <c r="B45" s="145" t="s">
        <v>237</v>
      </c>
      <c r="C45" s="146">
        <v>0.7</v>
      </c>
      <c r="D45" s="147" t="s">
        <v>280</v>
      </c>
      <c r="E45" s="148" t="s">
        <v>280</v>
      </c>
    </row>
    <row r="46" spans="2:5" x14ac:dyDescent="0.2">
      <c r="B46" s="149" t="s">
        <v>281</v>
      </c>
      <c r="C46" s="865" t="s">
        <v>282</v>
      </c>
      <c r="D46" s="865"/>
      <c r="E46" s="150"/>
    </row>
    <row r="47" spans="2:5" x14ac:dyDescent="0.2">
      <c r="B47" s="149" t="s">
        <v>285</v>
      </c>
      <c r="C47" s="865" t="s">
        <v>286</v>
      </c>
      <c r="D47" s="865"/>
      <c r="E47" s="150"/>
    </row>
    <row r="48" spans="2:5" x14ac:dyDescent="0.2">
      <c r="B48" s="149" t="s">
        <v>283</v>
      </c>
      <c r="C48" s="144" t="s">
        <v>284</v>
      </c>
      <c r="D48" s="144"/>
      <c r="E48" s="150"/>
    </row>
    <row r="49" spans="2:5" x14ac:dyDescent="0.2">
      <c r="B49" s="149"/>
      <c r="C49" s="865" t="s">
        <v>238</v>
      </c>
      <c r="D49" s="865"/>
      <c r="E49" s="150"/>
    </row>
    <row r="50" spans="2:5" ht="13.5" thickBot="1" x14ac:dyDescent="0.25">
      <c r="B50" s="151" t="s">
        <v>287</v>
      </c>
      <c r="C50" s="862" t="s">
        <v>288</v>
      </c>
      <c r="D50" s="862"/>
      <c r="E50" s="153"/>
    </row>
    <row r="51" spans="2:5" x14ac:dyDescent="0.2">
      <c r="C51" s="124"/>
      <c r="D51" s="124"/>
      <c r="E51" s="124"/>
    </row>
    <row r="52" spans="2:5" x14ac:dyDescent="0.2">
      <c r="C52" s="124"/>
      <c r="D52" s="124"/>
      <c r="E52" s="124"/>
    </row>
  </sheetData>
  <mergeCells count="7">
    <mergeCell ref="C50:D50"/>
    <mergeCell ref="C37:D37"/>
    <mergeCell ref="C42:D42"/>
    <mergeCell ref="C43:D43"/>
    <mergeCell ref="C46:D46"/>
    <mergeCell ref="C47:D47"/>
    <mergeCell ref="C49:D49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8"/>
  <sheetViews>
    <sheetView workbookViewId="0">
      <selection activeCell="AC54" sqref="AC54"/>
    </sheetView>
  </sheetViews>
  <sheetFormatPr baseColWidth="10" defaultColWidth="11.42578125" defaultRowHeight="12.75" x14ac:dyDescent="0.2"/>
  <cols>
    <col min="1" max="1" width="17.28515625" style="126" bestFit="1" customWidth="1"/>
    <col min="2" max="2" width="7.140625" style="126" bestFit="1" customWidth="1"/>
    <col min="3" max="5" width="7.140625" style="126" customWidth="1"/>
    <col min="6" max="6" width="9" style="126" customWidth="1"/>
    <col min="7" max="7" width="9.85546875" style="126" customWidth="1"/>
    <col min="8" max="8" width="11.42578125" style="126" customWidth="1"/>
    <col min="9" max="9" width="8" style="126" customWidth="1"/>
    <col min="10" max="10" width="7.140625" style="126" customWidth="1"/>
    <col min="11" max="11" width="4.7109375" style="126" customWidth="1"/>
    <col min="12" max="15" width="11.42578125" style="126" customWidth="1"/>
    <col min="16" max="16" width="7.140625" style="126" hidden="1" customWidth="1"/>
    <col min="17" max="17" width="4.7109375" style="126" hidden="1" customWidth="1"/>
    <col min="18" max="18" width="5.85546875" style="126" hidden="1" customWidth="1"/>
    <col min="19" max="19" width="8.5703125" style="126" hidden="1" customWidth="1"/>
    <col min="20" max="20" width="6.42578125" style="126" hidden="1" customWidth="1"/>
    <col min="21" max="21" width="7.140625" style="126" hidden="1" customWidth="1"/>
    <col min="22" max="22" width="4.7109375" style="126" hidden="1" customWidth="1"/>
    <col min="23" max="23" width="5.85546875" style="126" hidden="1" customWidth="1"/>
    <col min="24" max="24" width="8.5703125" style="126" hidden="1" customWidth="1"/>
    <col min="25" max="25" width="6" style="126" hidden="1" customWidth="1"/>
    <col min="26" max="26" width="7.140625" style="126" bestFit="1" customWidth="1"/>
    <col min="27" max="27" width="4.7109375" style="126" bestFit="1" customWidth="1"/>
    <col min="28" max="28" width="5.85546875" style="126" bestFit="1" customWidth="1"/>
    <col min="29" max="29" width="8.5703125" style="126" bestFit="1" customWidth="1"/>
    <col min="30" max="30" width="6" style="126" bestFit="1" customWidth="1"/>
    <col min="31" max="16384" width="11.42578125" style="126"/>
  </cols>
  <sheetData>
    <row r="1" spans="1:30" ht="13.5" thickBot="1" x14ac:dyDescent="0.25">
      <c r="A1" s="237" t="s">
        <v>387</v>
      </c>
      <c r="B1" s="237" t="s">
        <v>381</v>
      </c>
      <c r="C1" s="237"/>
      <c r="D1" s="237"/>
      <c r="E1" s="237"/>
      <c r="F1" s="238"/>
      <c r="G1" s="238"/>
      <c r="H1" s="238">
        <v>25630</v>
      </c>
      <c r="I1" s="237"/>
      <c r="J1" s="239"/>
    </row>
    <row r="2" spans="1:30" x14ac:dyDescent="0.2">
      <c r="A2" s="237"/>
      <c r="B2" s="867" t="s">
        <v>384</v>
      </c>
      <c r="C2" s="867"/>
      <c r="D2" s="867"/>
      <c r="E2" s="867"/>
      <c r="F2" s="867"/>
      <c r="G2" s="237"/>
      <c r="H2" s="237"/>
      <c r="I2" s="53"/>
      <c r="J2" s="237"/>
      <c r="M2" s="572" t="s">
        <v>497</v>
      </c>
      <c r="N2" s="566">
        <v>300000</v>
      </c>
      <c r="O2" s="129"/>
    </row>
    <row r="3" spans="1:30" x14ac:dyDescent="0.2">
      <c r="A3" s="237" t="s">
        <v>194</v>
      </c>
      <c r="B3" s="241" t="s">
        <v>382</v>
      </c>
      <c r="C3" s="563" t="s">
        <v>500</v>
      </c>
      <c r="D3" s="452"/>
      <c r="E3" s="452"/>
      <c r="F3" s="63" t="s">
        <v>383</v>
      </c>
      <c r="G3" s="37"/>
      <c r="H3" s="37"/>
      <c r="I3" s="53"/>
      <c r="J3" s="870"/>
      <c r="M3" s="573" t="s">
        <v>371</v>
      </c>
      <c r="N3" s="567">
        <f>N2*0.07</f>
        <v>21000.000000000004</v>
      </c>
      <c r="O3" s="131"/>
    </row>
    <row r="4" spans="1:30" x14ac:dyDescent="0.2">
      <c r="A4" s="237" t="s">
        <v>385</v>
      </c>
      <c r="B4" s="243">
        <v>0.4</v>
      </c>
      <c r="C4" s="576">
        <v>3</v>
      </c>
      <c r="D4" s="243"/>
      <c r="E4" s="243"/>
      <c r="F4" s="242">
        <v>0.9</v>
      </c>
      <c r="G4" s="37"/>
      <c r="H4" s="37"/>
      <c r="I4" s="53"/>
      <c r="J4" s="870"/>
      <c r="M4" s="573" t="s">
        <v>498</v>
      </c>
      <c r="N4" s="575" t="s">
        <v>499</v>
      </c>
      <c r="O4" s="131"/>
    </row>
    <row r="5" spans="1:30" x14ac:dyDescent="0.2">
      <c r="A5" s="237" t="s">
        <v>197</v>
      </c>
      <c r="B5" s="243">
        <v>0.31</v>
      </c>
      <c r="C5" s="576">
        <v>2</v>
      </c>
      <c r="D5" s="243"/>
      <c r="E5" s="243"/>
      <c r="F5" s="242">
        <v>1</v>
      </c>
      <c r="G5" s="37"/>
      <c r="H5" s="37"/>
      <c r="I5" s="53"/>
      <c r="J5" s="870"/>
      <c r="M5" s="573" t="s">
        <v>24</v>
      </c>
      <c r="N5" s="568">
        <v>10300</v>
      </c>
      <c r="O5" s="569">
        <f>N5/$N$2</f>
        <v>3.4333333333333334E-2</v>
      </c>
    </row>
    <row r="6" spans="1:30" x14ac:dyDescent="0.2">
      <c r="A6" s="237" t="s">
        <v>159</v>
      </c>
      <c r="B6" s="243">
        <v>0.5</v>
      </c>
      <c r="C6" s="576">
        <v>3</v>
      </c>
      <c r="D6" s="243"/>
      <c r="E6" s="243"/>
      <c r="F6" s="242">
        <v>0.9</v>
      </c>
      <c r="G6" s="37"/>
      <c r="H6" s="37"/>
      <c r="I6" s="53"/>
      <c r="J6" s="237"/>
      <c r="M6" s="573" t="s">
        <v>385</v>
      </c>
      <c r="N6" s="568">
        <v>2987</v>
      </c>
      <c r="O6" s="569">
        <f t="shared" ref="O6:O8" si="0">N6/$N$2</f>
        <v>9.9566666666666675E-3</v>
      </c>
    </row>
    <row r="7" spans="1:30" x14ac:dyDescent="0.2">
      <c r="A7" s="237" t="s">
        <v>386</v>
      </c>
      <c r="B7" s="243">
        <v>0.31</v>
      </c>
      <c r="C7" s="576">
        <v>3</v>
      </c>
      <c r="D7" s="243"/>
      <c r="E7" s="243"/>
      <c r="F7" s="242">
        <v>0.9</v>
      </c>
      <c r="G7" s="37"/>
      <c r="H7" s="37"/>
      <c r="I7" s="237"/>
      <c r="J7" s="237"/>
      <c r="M7" s="573" t="s">
        <v>197</v>
      </c>
      <c r="N7" s="568">
        <f>N8-N6-N5</f>
        <v>20713</v>
      </c>
      <c r="O7" s="569">
        <f t="shared" si="0"/>
        <v>6.9043333333333332E-2</v>
      </c>
    </row>
    <row r="8" spans="1:30" ht="13.5" thickBot="1" x14ac:dyDescent="0.25">
      <c r="A8" s="126" t="s">
        <v>173</v>
      </c>
      <c r="B8" s="243">
        <v>0.25</v>
      </c>
      <c r="C8" s="243"/>
      <c r="D8" s="243"/>
      <c r="E8" s="243"/>
      <c r="F8" s="242">
        <v>0.75</v>
      </c>
      <c r="G8" s="37"/>
      <c r="H8" s="37"/>
      <c r="I8" s="237"/>
      <c r="J8" s="237"/>
      <c r="M8" s="574" t="s">
        <v>310</v>
      </c>
      <c r="N8" s="570">
        <v>34000</v>
      </c>
      <c r="O8" s="571">
        <f t="shared" si="0"/>
        <v>0.11333333333333333</v>
      </c>
    </row>
    <row r="9" spans="1:30" x14ac:dyDescent="0.2">
      <c r="A9" s="237"/>
      <c r="B9" s="240"/>
      <c r="C9" s="240"/>
      <c r="D9" s="240"/>
      <c r="E9" s="240"/>
      <c r="F9" s="63"/>
      <c r="G9" s="37"/>
      <c r="H9" s="37"/>
      <c r="I9" s="237"/>
      <c r="J9" s="237"/>
      <c r="R9" s="126" t="s">
        <v>469</v>
      </c>
    </row>
    <row r="11" spans="1:30" ht="13.5" thickBot="1" x14ac:dyDescent="0.25">
      <c r="A11" s="6"/>
      <c r="B11" s="8"/>
      <c r="C11" s="8"/>
      <c r="D11" s="8"/>
      <c r="E11" s="8"/>
      <c r="I11" s="222"/>
      <c r="J11" s="222"/>
      <c r="L11" s="869" t="s">
        <v>473</v>
      </c>
      <c r="M11" s="869"/>
      <c r="N11" s="869"/>
      <c r="P11" s="866" t="s">
        <v>470</v>
      </c>
      <c r="Q11" s="866"/>
      <c r="R11" s="866"/>
      <c r="S11" s="866"/>
      <c r="T11" s="866"/>
      <c r="U11" s="866" t="s">
        <v>471</v>
      </c>
      <c r="V11" s="866"/>
      <c r="W11" s="866"/>
      <c r="X11" s="866"/>
      <c r="Y11" s="866"/>
      <c r="Z11" s="866" t="s">
        <v>472</v>
      </c>
      <c r="AA11" s="866"/>
      <c r="AB11" s="866"/>
      <c r="AC11" s="866"/>
      <c r="AD11" s="866"/>
    </row>
    <row r="12" spans="1:30" ht="13.5" thickBot="1" x14ac:dyDescent="0.25">
      <c r="A12" s="6"/>
      <c r="B12" s="8"/>
      <c r="C12" s="8"/>
      <c r="D12" s="8"/>
      <c r="E12" s="8"/>
      <c r="F12" s="861" t="s">
        <v>392</v>
      </c>
      <c r="G12" s="861"/>
      <c r="H12" s="861"/>
      <c r="I12" s="861"/>
      <c r="J12" s="9"/>
      <c r="K12" s="9"/>
      <c r="L12" s="227"/>
      <c r="M12" s="228" t="s">
        <v>393</v>
      </c>
      <c r="N12" s="10"/>
      <c r="O12" s="10"/>
      <c r="P12" s="472"/>
      <c r="Q12" s="473"/>
      <c r="R12" s="473"/>
      <c r="S12" s="473"/>
      <c r="T12" s="473"/>
      <c r="U12" s="474"/>
      <c r="V12" s="475"/>
      <c r="W12" s="475"/>
      <c r="X12" s="475"/>
      <c r="Y12" s="475"/>
      <c r="Z12" s="476"/>
      <c r="AA12" s="477"/>
      <c r="AB12" s="477"/>
      <c r="AC12" s="477"/>
      <c r="AD12" s="478"/>
    </row>
    <row r="13" spans="1:30" ht="13.5" thickBot="1" x14ac:dyDescent="0.25">
      <c r="A13" s="6"/>
      <c r="B13" s="8"/>
      <c r="C13" s="6" t="s">
        <v>466</v>
      </c>
      <c r="D13" s="6" t="s">
        <v>467</v>
      </c>
      <c r="E13" s="6" t="s">
        <v>387</v>
      </c>
      <c r="F13" s="245" t="s">
        <v>388</v>
      </c>
      <c r="G13" s="246" t="s">
        <v>389</v>
      </c>
      <c r="H13" s="247" t="s">
        <v>390</v>
      </c>
      <c r="I13" s="248" t="s">
        <v>391</v>
      </c>
      <c r="J13" s="244" t="s">
        <v>3</v>
      </c>
      <c r="K13" s="11" t="s">
        <v>50</v>
      </c>
      <c r="L13" s="12" t="s">
        <v>49</v>
      </c>
      <c r="M13" s="214" t="s">
        <v>48</v>
      </c>
      <c r="N13" s="12" t="s">
        <v>45</v>
      </c>
      <c r="O13" s="468" t="s">
        <v>46</v>
      </c>
      <c r="P13" s="469" t="s">
        <v>3</v>
      </c>
      <c r="Q13" s="470" t="s">
        <v>50</v>
      </c>
      <c r="R13" s="470" t="s">
        <v>49</v>
      </c>
      <c r="S13" s="470" t="s">
        <v>45</v>
      </c>
      <c r="T13" s="470" t="s">
        <v>46</v>
      </c>
      <c r="U13" s="469" t="s">
        <v>3</v>
      </c>
      <c r="V13" s="470" t="s">
        <v>50</v>
      </c>
      <c r="W13" s="470" t="s">
        <v>49</v>
      </c>
      <c r="X13" s="470" t="s">
        <v>45</v>
      </c>
      <c r="Y13" s="470" t="s">
        <v>46</v>
      </c>
      <c r="Z13" s="469" t="s">
        <v>3</v>
      </c>
      <c r="AA13" s="470" t="s">
        <v>50</v>
      </c>
      <c r="AB13" s="470" t="s">
        <v>49</v>
      </c>
      <c r="AC13" s="470" t="s">
        <v>45</v>
      </c>
      <c r="AD13" s="471" t="s">
        <v>46</v>
      </c>
    </row>
    <row r="14" spans="1:30" x14ac:dyDescent="0.2">
      <c r="A14" s="13" t="s">
        <v>0</v>
      </c>
      <c r="B14" s="5"/>
      <c r="C14" s="6" t="s">
        <v>468</v>
      </c>
      <c r="D14" s="6" t="s">
        <v>468</v>
      </c>
      <c r="E14" s="6" t="s">
        <v>468</v>
      </c>
      <c r="H14" s="176"/>
      <c r="I14" s="1"/>
      <c r="J14" s="177"/>
      <c r="L14" s="178"/>
      <c r="M14" s="178"/>
      <c r="N14" s="178"/>
      <c r="U14" s="70"/>
      <c r="V14" s="70"/>
      <c r="W14" s="70"/>
      <c r="X14" s="70"/>
      <c r="Y14" s="70"/>
      <c r="Z14" s="70"/>
      <c r="AA14" s="70"/>
      <c r="AB14" s="70"/>
      <c r="AC14" s="70"/>
      <c r="AD14" s="70"/>
    </row>
    <row r="15" spans="1:30" x14ac:dyDescent="0.2">
      <c r="A15" s="6"/>
      <c r="B15" s="14"/>
      <c r="C15" s="14"/>
      <c r="D15" s="14"/>
      <c r="E15" s="14"/>
      <c r="H15" s="176"/>
      <c r="I15" s="1"/>
      <c r="J15" s="177"/>
      <c r="L15" s="178"/>
      <c r="M15" s="178"/>
      <c r="N15" s="178"/>
      <c r="U15" s="70"/>
      <c r="V15" s="70"/>
      <c r="W15" s="70"/>
      <c r="X15" s="70"/>
      <c r="Y15" s="70"/>
      <c r="Z15" s="70"/>
      <c r="AA15" s="70"/>
      <c r="AB15" s="70"/>
      <c r="AC15" s="70"/>
      <c r="AD15" s="70"/>
    </row>
    <row r="16" spans="1:30" x14ac:dyDescent="0.2">
      <c r="A16" s="6"/>
      <c r="B16" s="15" t="s">
        <v>1</v>
      </c>
      <c r="C16" s="480">
        <v>8830</v>
      </c>
      <c r="D16" s="480">
        <v>9450</v>
      </c>
      <c r="E16" s="480">
        <v>11060</v>
      </c>
      <c r="F16" s="70">
        <v>9120</v>
      </c>
      <c r="G16" s="70">
        <v>30900</v>
      </c>
      <c r="H16" s="70">
        <v>22650</v>
      </c>
      <c r="I16" s="16">
        <v>27600</v>
      </c>
      <c r="J16" s="70">
        <v>1</v>
      </c>
      <c r="L16" s="236">
        <v>0.48</v>
      </c>
      <c r="M16" s="479">
        <f>AC16/H1</f>
        <v>0.20678891923527118</v>
      </c>
      <c r="N16" s="70">
        <f>MIN($E16*L16,M16*$H$1)*J16</f>
        <v>5300</v>
      </c>
      <c r="O16" s="70">
        <f>E16-N16</f>
        <v>5760</v>
      </c>
      <c r="P16" s="20">
        <v>1</v>
      </c>
      <c r="R16" s="236">
        <f>S16/C16</f>
        <v>0.60022650056625138</v>
      </c>
      <c r="S16" s="70">
        <f>C16-T16</f>
        <v>5300</v>
      </c>
      <c r="T16" s="70">
        <v>3530</v>
      </c>
      <c r="U16" s="70"/>
      <c r="V16" s="70"/>
      <c r="W16" s="236">
        <f>X16/D16</f>
        <v>0.56084656084656082</v>
      </c>
      <c r="X16" s="70">
        <f>D16-Y16</f>
        <v>5300</v>
      </c>
      <c r="Y16" s="70">
        <v>4150</v>
      </c>
      <c r="Z16" s="70"/>
      <c r="AA16" s="70"/>
      <c r="AB16" s="236">
        <f>AC16/E16</f>
        <v>0.47920433996383366</v>
      </c>
      <c r="AC16" s="70">
        <f>E16-AD16</f>
        <v>5300</v>
      </c>
      <c r="AD16" s="70">
        <v>5760</v>
      </c>
    </row>
    <row r="17" spans="1:30" x14ac:dyDescent="0.2">
      <c r="A17" s="6"/>
      <c r="B17" s="15" t="s">
        <v>4</v>
      </c>
      <c r="C17" s="480">
        <v>7020</v>
      </c>
      <c r="D17" s="480">
        <v>9130</v>
      </c>
      <c r="E17" s="480">
        <v>11230</v>
      </c>
      <c r="F17" s="70">
        <v>9120</v>
      </c>
      <c r="G17" s="70">
        <v>30900</v>
      </c>
      <c r="H17" s="70">
        <v>22650</v>
      </c>
      <c r="I17" s="16">
        <v>27600</v>
      </c>
      <c r="J17" s="70">
        <v>1</v>
      </c>
      <c r="L17" s="236">
        <v>0.31</v>
      </c>
      <c r="M17" s="479">
        <f>AC17/H1</f>
        <v>0.1369488880218494</v>
      </c>
      <c r="N17" s="70">
        <f>MIN(E17*L17,M17*$H$1)*J17</f>
        <v>3481.3</v>
      </c>
      <c r="O17" s="70">
        <f>E17-N17</f>
        <v>7748.7</v>
      </c>
      <c r="P17" s="20">
        <v>1</v>
      </c>
      <c r="R17" s="236">
        <f>S17/C17</f>
        <v>0.5</v>
      </c>
      <c r="S17" s="70">
        <f>C17-T17</f>
        <v>3510</v>
      </c>
      <c r="T17" s="70">
        <v>3510</v>
      </c>
      <c r="U17" s="70"/>
      <c r="V17" s="70"/>
      <c r="W17" s="236">
        <f>X17/D17</f>
        <v>0.38444687842278202</v>
      </c>
      <c r="X17" s="70">
        <f>D17-Y17</f>
        <v>3510</v>
      </c>
      <c r="Y17" s="70">
        <v>5620</v>
      </c>
      <c r="Z17" s="70"/>
      <c r="AA17" s="70"/>
      <c r="AB17" s="236">
        <f>AC17/E17</f>
        <v>0.31255565449688333</v>
      </c>
      <c r="AC17" s="70">
        <f>E17-AD17</f>
        <v>3510</v>
      </c>
      <c r="AD17" s="70">
        <v>7720</v>
      </c>
    </row>
    <row r="18" spans="1:30" x14ac:dyDescent="0.2">
      <c r="A18" s="2"/>
      <c r="B18" s="4" t="s">
        <v>5</v>
      </c>
      <c r="C18" s="481"/>
      <c r="D18" s="481"/>
      <c r="E18" s="481"/>
      <c r="F18" s="70"/>
      <c r="G18" s="70"/>
      <c r="H18" s="70"/>
      <c r="I18" s="16"/>
      <c r="J18" s="70"/>
      <c r="L18" s="236"/>
      <c r="M18" s="70"/>
      <c r="N18" s="70"/>
      <c r="O18" s="70"/>
      <c r="P18" s="20"/>
      <c r="R18" s="2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</row>
    <row r="19" spans="1:30" x14ac:dyDescent="0.2">
      <c r="A19" s="6"/>
      <c r="B19" s="15" t="s">
        <v>7</v>
      </c>
      <c r="C19" s="480">
        <v>2300</v>
      </c>
      <c r="D19" s="480">
        <v>2990</v>
      </c>
      <c r="E19" s="480">
        <v>3680</v>
      </c>
      <c r="F19" s="70">
        <v>3340</v>
      </c>
      <c r="G19" s="70">
        <v>4180</v>
      </c>
      <c r="H19" s="70">
        <v>3590</v>
      </c>
      <c r="I19" s="16">
        <v>15500</v>
      </c>
      <c r="J19" s="70">
        <v>1</v>
      </c>
      <c r="L19" s="236">
        <v>0.31</v>
      </c>
      <c r="M19" s="479">
        <f>AC19/$H$1</f>
        <v>4.5259461568474442E-2</v>
      </c>
      <c r="N19" s="70">
        <f>MIN($E19*L19,M19*$H$1)*J19</f>
        <v>1140.8</v>
      </c>
      <c r="O19" s="70">
        <f t="shared" ref="O19:O31" si="1">F19-N19</f>
        <v>2199.1999999999998</v>
      </c>
      <c r="P19" s="20">
        <v>1</v>
      </c>
      <c r="R19" s="236">
        <f>S19/C19</f>
        <v>0.5</v>
      </c>
      <c r="S19" s="70">
        <f>C19-T19</f>
        <v>1150</v>
      </c>
      <c r="T19" s="70">
        <v>1150</v>
      </c>
      <c r="U19" s="70">
        <v>1</v>
      </c>
      <c r="V19" s="70"/>
      <c r="W19" s="236">
        <f>X19/D19</f>
        <v>0.38461538461538464</v>
      </c>
      <c r="X19" s="70">
        <f>D19-Y19</f>
        <v>1150</v>
      </c>
      <c r="Y19" s="70">
        <v>1840</v>
      </c>
      <c r="Z19" s="70"/>
      <c r="AA19" s="70"/>
      <c r="AB19" s="236">
        <f t="shared" ref="AB19:AB24" si="2">AC19/E19</f>
        <v>0.31521739130434784</v>
      </c>
      <c r="AC19" s="70">
        <f t="shared" ref="AC19:AC24" si="3">E19-AD19</f>
        <v>1160</v>
      </c>
      <c r="AD19" s="70">
        <v>2520</v>
      </c>
    </row>
    <row r="20" spans="1:30" x14ac:dyDescent="0.2">
      <c r="A20" s="6"/>
      <c r="B20" s="15" t="s">
        <v>8</v>
      </c>
      <c r="C20" s="480">
        <v>5510</v>
      </c>
      <c r="D20" s="480">
        <v>6640</v>
      </c>
      <c r="E20" s="480">
        <v>8180</v>
      </c>
      <c r="F20" s="70">
        <v>6940</v>
      </c>
      <c r="G20" s="70">
        <v>8680</v>
      </c>
      <c r="H20" s="70">
        <v>11210</v>
      </c>
      <c r="I20" s="16">
        <v>23100</v>
      </c>
      <c r="J20" s="70">
        <v>1</v>
      </c>
      <c r="L20" s="236">
        <v>0.31</v>
      </c>
      <c r="M20" s="479">
        <f>AC20/H1</f>
        <v>9.9492781896215368E-2</v>
      </c>
      <c r="N20" s="70">
        <f t="shared" ref="N20:N25" si="4">MIN($E20*L20,M20*$H$1)*J20</f>
        <v>2535.8000000000002</v>
      </c>
      <c r="O20" s="70">
        <f t="shared" si="1"/>
        <v>4404.2</v>
      </c>
      <c r="P20" s="20">
        <v>1</v>
      </c>
      <c r="R20" s="236">
        <f>S20/C20</f>
        <v>0.53539019963702361</v>
      </c>
      <c r="S20" s="70">
        <f>C20-T20</f>
        <v>2950</v>
      </c>
      <c r="T20" s="70">
        <v>2560</v>
      </c>
      <c r="U20" s="70">
        <v>1</v>
      </c>
      <c r="V20" s="70"/>
      <c r="W20" s="236">
        <f>X20/D20</f>
        <v>0.38403614457831325</v>
      </c>
      <c r="X20" s="70">
        <f>D20-Y20</f>
        <v>2550</v>
      </c>
      <c r="Y20" s="70">
        <v>4090</v>
      </c>
      <c r="Z20" s="70"/>
      <c r="AA20" s="70"/>
      <c r="AB20" s="236">
        <f t="shared" si="2"/>
        <v>0.31173594132029342</v>
      </c>
      <c r="AC20" s="70">
        <f t="shared" si="3"/>
        <v>2550</v>
      </c>
      <c r="AD20" s="70">
        <v>5630</v>
      </c>
    </row>
    <row r="21" spans="1:30" x14ac:dyDescent="0.2">
      <c r="A21" s="6"/>
      <c r="B21" s="15" t="s">
        <v>9</v>
      </c>
      <c r="C21" s="480">
        <v>6500</v>
      </c>
      <c r="D21" s="480">
        <v>8450</v>
      </c>
      <c r="E21" s="480">
        <v>10400</v>
      </c>
      <c r="F21" s="70">
        <v>9390</v>
      </c>
      <c r="G21" s="70">
        <v>11740</v>
      </c>
      <c r="H21" s="70">
        <v>15240</v>
      </c>
      <c r="I21" s="16">
        <v>17800</v>
      </c>
      <c r="J21" s="70">
        <v>1</v>
      </c>
      <c r="L21" s="236">
        <v>0.31</v>
      </c>
      <c r="M21" s="479">
        <f>AC21/H1</f>
        <v>0.12680452594615685</v>
      </c>
      <c r="N21" s="70">
        <f t="shared" si="4"/>
        <v>3224</v>
      </c>
      <c r="O21" s="70">
        <f t="shared" si="1"/>
        <v>6166</v>
      </c>
      <c r="P21" s="20">
        <v>1</v>
      </c>
      <c r="R21" s="236">
        <f>S21/C21</f>
        <v>0.5</v>
      </c>
      <c r="S21" s="70">
        <f>C21-T21</f>
        <v>3250</v>
      </c>
      <c r="T21" s="70">
        <v>3250</v>
      </c>
      <c r="U21" s="70">
        <v>1</v>
      </c>
      <c r="V21" s="70"/>
      <c r="W21" s="236">
        <f>X21/D21</f>
        <v>0.38461538461538464</v>
      </c>
      <c r="X21" s="70">
        <f>D21-Y21</f>
        <v>3250</v>
      </c>
      <c r="Y21" s="70">
        <v>5200</v>
      </c>
      <c r="Z21" s="70"/>
      <c r="AA21" s="70"/>
      <c r="AB21" s="236">
        <f t="shared" si="2"/>
        <v>0.3125</v>
      </c>
      <c r="AC21" s="70">
        <f t="shared" si="3"/>
        <v>3250</v>
      </c>
      <c r="AD21" s="70">
        <v>7150</v>
      </c>
    </row>
    <row r="22" spans="1:30" x14ac:dyDescent="0.2">
      <c r="A22" s="6"/>
      <c r="B22" s="15" t="s">
        <v>10</v>
      </c>
      <c r="C22" s="480">
        <v>2800</v>
      </c>
      <c r="D22" s="480">
        <v>3640</v>
      </c>
      <c r="E22" s="480">
        <v>4480</v>
      </c>
      <c r="F22" s="70">
        <v>1440</v>
      </c>
      <c r="G22" s="70">
        <v>1800</v>
      </c>
      <c r="H22" s="70">
        <v>1520</v>
      </c>
      <c r="I22" s="16">
        <v>3820</v>
      </c>
      <c r="J22" s="70">
        <v>1</v>
      </c>
      <c r="L22" s="236">
        <v>0.31</v>
      </c>
      <c r="M22" s="479">
        <f>AC22/H1</f>
        <v>5.4623488099882947E-2</v>
      </c>
      <c r="N22" s="70">
        <f t="shared" si="4"/>
        <v>1388.8</v>
      </c>
      <c r="O22" s="70">
        <f t="shared" si="1"/>
        <v>51.200000000000045</v>
      </c>
      <c r="P22" s="20">
        <v>1</v>
      </c>
      <c r="R22" s="236">
        <f>S22/C22</f>
        <v>0.5</v>
      </c>
      <c r="S22" s="70">
        <f>C22-T22</f>
        <v>1400</v>
      </c>
      <c r="T22" s="70">
        <v>1400</v>
      </c>
      <c r="U22" s="70">
        <v>1</v>
      </c>
      <c r="V22" s="70"/>
      <c r="W22" s="236">
        <f>X22/D22</f>
        <v>0.38461538461538464</v>
      </c>
      <c r="X22" s="70">
        <f>D22-Y22</f>
        <v>1400</v>
      </c>
      <c r="Y22" s="70">
        <v>2240</v>
      </c>
      <c r="Z22" s="70"/>
      <c r="AA22" s="70"/>
      <c r="AB22" s="236">
        <f t="shared" si="2"/>
        <v>0.3125</v>
      </c>
      <c r="AC22" s="70">
        <f t="shared" si="3"/>
        <v>1400</v>
      </c>
      <c r="AD22" s="70">
        <v>3080</v>
      </c>
    </row>
    <row r="23" spans="1:30" x14ac:dyDescent="0.2">
      <c r="A23" s="6"/>
      <c r="B23" s="15" t="s">
        <v>11</v>
      </c>
      <c r="C23" s="480">
        <v>1430</v>
      </c>
      <c r="D23" s="480">
        <v>1860</v>
      </c>
      <c r="E23" s="480">
        <v>2290</v>
      </c>
      <c r="F23" s="70">
        <v>1440</v>
      </c>
      <c r="G23" s="70">
        <v>2600</v>
      </c>
      <c r="H23" s="70">
        <v>2280</v>
      </c>
      <c r="I23" s="16">
        <v>6370</v>
      </c>
      <c r="J23" s="70">
        <v>1</v>
      </c>
      <c r="L23" s="236">
        <v>0.31</v>
      </c>
      <c r="M23" s="479">
        <f>AC23/H1</f>
        <v>2.7701911822083494E-2</v>
      </c>
      <c r="N23" s="70">
        <f t="shared" si="4"/>
        <v>709.9</v>
      </c>
      <c r="O23" s="70">
        <f t="shared" si="1"/>
        <v>730.1</v>
      </c>
      <c r="P23" s="20">
        <v>1</v>
      </c>
      <c r="R23" s="236">
        <f>S23/C23</f>
        <v>0.49650349650349651</v>
      </c>
      <c r="S23" s="70">
        <f>C23-T23</f>
        <v>710</v>
      </c>
      <c r="T23" s="70">
        <v>720</v>
      </c>
      <c r="U23" s="70">
        <v>1</v>
      </c>
      <c r="V23" s="70"/>
      <c r="W23" s="236">
        <f>X23/D23</f>
        <v>0.38172043010752688</v>
      </c>
      <c r="X23" s="70">
        <f>D23-Y23</f>
        <v>710</v>
      </c>
      <c r="Y23" s="70">
        <v>1150</v>
      </c>
      <c r="Z23" s="70"/>
      <c r="AA23" s="70"/>
      <c r="AB23" s="236">
        <f t="shared" si="2"/>
        <v>0.31004366812227074</v>
      </c>
      <c r="AC23" s="70">
        <f t="shared" si="3"/>
        <v>710</v>
      </c>
      <c r="AD23" s="70">
        <v>1580</v>
      </c>
    </row>
    <row r="24" spans="1:30" x14ac:dyDescent="0.2">
      <c r="A24" s="6"/>
      <c r="B24" s="15" t="s">
        <v>12</v>
      </c>
      <c r="C24" s="480"/>
      <c r="D24" s="480"/>
      <c r="E24" s="480">
        <v>14720</v>
      </c>
      <c r="F24" s="70">
        <v>76640</v>
      </c>
      <c r="G24" s="70">
        <v>95800</v>
      </c>
      <c r="H24" s="70">
        <v>154730</v>
      </c>
      <c r="I24" s="16">
        <v>110900</v>
      </c>
      <c r="J24" s="70">
        <v>1</v>
      </c>
      <c r="L24" s="236">
        <v>0.31</v>
      </c>
      <c r="M24" s="479">
        <f>AC24/$H$1</f>
        <v>0.47717518532969178</v>
      </c>
      <c r="N24" s="70">
        <f t="shared" si="4"/>
        <v>4563.2</v>
      </c>
      <c r="O24" s="70">
        <f t="shared" si="1"/>
        <v>72076.800000000003</v>
      </c>
      <c r="P24" s="20">
        <v>1</v>
      </c>
      <c r="R24" s="236"/>
      <c r="S24" s="70"/>
      <c r="T24" s="70"/>
      <c r="U24" s="70">
        <v>1</v>
      </c>
      <c r="V24" s="70"/>
      <c r="W24" s="236"/>
      <c r="X24" s="70"/>
      <c r="Y24" s="70"/>
      <c r="Z24" s="70"/>
      <c r="AA24" s="70"/>
      <c r="AB24" s="236">
        <f t="shared" si="2"/>
        <v>0.83084239130434778</v>
      </c>
      <c r="AC24" s="70">
        <f t="shared" si="3"/>
        <v>12230</v>
      </c>
      <c r="AD24" s="70">
        <v>2490</v>
      </c>
    </row>
    <row r="25" spans="1:30" x14ac:dyDescent="0.2">
      <c r="A25" s="6"/>
      <c r="B25" s="15" t="s">
        <v>13</v>
      </c>
      <c r="C25" s="480"/>
      <c r="D25" s="480"/>
      <c r="E25" s="480"/>
      <c r="F25" s="70">
        <v>28450</v>
      </c>
      <c r="G25" s="70">
        <v>57680</v>
      </c>
      <c r="H25" s="70">
        <v>138260</v>
      </c>
      <c r="I25" s="16">
        <v>58300</v>
      </c>
      <c r="J25" s="70">
        <v>1</v>
      </c>
      <c r="L25" s="236">
        <v>0.31</v>
      </c>
      <c r="M25" s="479" t="s">
        <v>128</v>
      </c>
      <c r="N25" s="70" t="e">
        <f t="shared" si="4"/>
        <v>#VALUE!</v>
      </c>
      <c r="O25" s="70" t="e">
        <f t="shared" si="1"/>
        <v>#VALUE!</v>
      </c>
      <c r="P25" s="20">
        <v>1</v>
      </c>
      <c r="R25" s="236"/>
      <c r="S25" s="70"/>
      <c r="T25" s="70"/>
      <c r="U25" s="70">
        <v>1</v>
      </c>
      <c r="V25" s="70"/>
      <c r="W25" s="236"/>
      <c r="X25" s="70"/>
      <c r="Y25" s="70"/>
      <c r="Z25" s="70"/>
      <c r="AA25" s="70"/>
      <c r="AB25" s="236"/>
      <c r="AC25" s="70"/>
      <c r="AD25" s="70"/>
    </row>
    <row r="26" spans="1:30" x14ac:dyDescent="0.2">
      <c r="A26" s="2"/>
      <c r="B26" s="4" t="s">
        <v>5</v>
      </c>
      <c r="C26" s="481"/>
      <c r="D26" s="481"/>
      <c r="E26" s="481"/>
      <c r="F26" s="70"/>
      <c r="G26" s="70"/>
      <c r="H26" s="70"/>
      <c r="I26" s="70"/>
      <c r="J26" s="70"/>
      <c r="L26" s="236"/>
      <c r="M26" s="70"/>
      <c r="N26" s="70"/>
      <c r="O26" s="70"/>
      <c r="P26" s="20"/>
      <c r="R26" s="20"/>
      <c r="S26" s="70"/>
      <c r="T26" s="70"/>
      <c r="U26" s="70"/>
      <c r="V26" s="70"/>
      <c r="W26" s="236"/>
      <c r="X26" s="70"/>
      <c r="Y26" s="70"/>
      <c r="Z26" s="70"/>
      <c r="AA26" s="70"/>
      <c r="AB26" s="70"/>
      <c r="AC26" s="70"/>
      <c r="AD26" s="70"/>
    </row>
    <row r="27" spans="1:30" x14ac:dyDescent="0.2">
      <c r="A27" s="6"/>
      <c r="B27" s="15" t="s">
        <v>15</v>
      </c>
      <c r="C27" s="480">
        <v>82100</v>
      </c>
      <c r="D27" s="480">
        <v>106370</v>
      </c>
      <c r="E27" s="480">
        <v>131360</v>
      </c>
      <c r="F27" s="70">
        <v>20850</v>
      </c>
      <c r="G27" s="70">
        <v>26060</v>
      </c>
      <c r="H27" s="70">
        <v>35940</v>
      </c>
      <c r="I27" s="70">
        <v>50600</v>
      </c>
      <c r="J27" s="70">
        <v>1</v>
      </c>
      <c r="L27" s="236">
        <v>0.31</v>
      </c>
      <c r="M27" s="479">
        <f>AC27/H1</f>
        <v>1.6016387046429965</v>
      </c>
      <c r="N27" s="70">
        <f>MIN($E27*L27,M27*$H$1)*J27</f>
        <v>40721.599999999999</v>
      </c>
      <c r="O27" s="70">
        <f>E27-N27</f>
        <v>90638.399999999994</v>
      </c>
      <c r="P27" s="20">
        <v>1</v>
      </c>
      <c r="R27" s="236">
        <f>S27/C27</f>
        <v>0.5</v>
      </c>
      <c r="S27" s="70">
        <f>C27-T27</f>
        <v>41050</v>
      </c>
      <c r="T27" s="70">
        <v>41050</v>
      </c>
      <c r="U27" s="70"/>
      <c r="V27" s="70"/>
      <c r="W27" s="236">
        <f>X27/D27</f>
        <v>0.38253266898561622</v>
      </c>
      <c r="X27" s="70">
        <f>D27-Y27</f>
        <v>40690</v>
      </c>
      <c r="Y27" s="70">
        <v>65680</v>
      </c>
      <c r="Z27" s="70"/>
      <c r="AA27" s="70"/>
      <c r="AB27" s="236">
        <f>AC27/E27</f>
        <v>0.3125</v>
      </c>
      <c r="AC27" s="70">
        <f>E27-AD27</f>
        <v>41050</v>
      </c>
      <c r="AD27" s="70">
        <v>90310</v>
      </c>
    </row>
    <row r="28" spans="1:30" x14ac:dyDescent="0.2">
      <c r="A28" s="6"/>
      <c r="B28" s="15" t="s">
        <v>16</v>
      </c>
      <c r="C28" s="480">
        <v>16740</v>
      </c>
      <c r="D28" s="480">
        <v>21760</v>
      </c>
      <c r="E28" s="480">
        <v>26780</v>
      </c>
      <c r="F28" s="70">
        <v>24180</v>
      </c>
      <c r="G28" s="70">
        <v>30220</v>
      </c>
      <c r="H28" s="70">
        <v>41700</v>
      </c>
      <c r="I28" s="70">
        <v>49000</v>
      </c>
      <c r="J28" s="70">
        <v>1</v>
      </c>
      <c r="L28" s="236">
        <v>0.31</v>
      </c>
      <c r="M28" s="479">
        <f>AC28/H1</f>
        <v>0.32657042528287161</v>
      </c>
      <c r="N28" s="70">
        <f>MIN($E28*L28,M28*$H$1)*J28</f>
        <v>8301.7999999999993</v>
      </c>
      <c r="O28" s="70">
        <f t="shared" si="1"/>
        <v>15878.2</v>
      </c>
      <c r="P28" s="20">
        <v>1</v>
      </c>
      <c r="R28" s="236">
        <f>S28/C28</f>
        <v>0.5</v>
      </c>
      <c r="S28" s="70">
        <f>C28-T28</f>
        <v>8370</v>
      </c>
      <c r="T28" s="70">
        <v>8370</v>
      </c>
      <c r="U28" s="70"/>
      <c r="V28" s="70"/>
      <c r="W28" s="236">
        <f>X28/D28</f>
        <v>0.35707720588235292</v>
      </c>
      <c r="X28" s="70">
        <f>D28-Y28</f>
        <v>7770</v>
      </c>
      <c r="Y28" s="70">
        <v>13990</v>
      </c>
      <c r="Z28" s="70"/>
      <c r="AA28" s="70"/>
      <c r="AB28" s="236">
        <f>AC28/E28</f>
        <v>0.31254667662434654</v>
      </c>
      <c r="AC28" s="70">
        <f>E28-AD28</f>
        <v>8370</v>
      </c>
      <c r="AD28" s="70">
        <v>18410</v>
      </c>
    </row>
    <row r="29" spans="1:30" x14ac:dyDescent="0.2">
      <c r="A29" s="6"/>
      <c r="B29" s="15" t="s">
        <v>17</v>
      </c>
      <c r="C29" s="480">
        <v>49590</v>
      </c>
      <c r="D29" s="480">
        <v>64470</v>
      </c>
      <c r="E29" s="480">
        <v>79340</v>
      </c>
      <c r="F29" s="70">
        <v>71620</v>
      </c>
      <c r="G29" s="70">
        <v>89520</v>
      </c>
      <c r="H29" s="70">
        <v>123700</v>
      </c>
      <c r="I29" s="70">
        <v>185700</v>
      </c>
      <c r="J29" s="70">
        <v>1</v>
      </c>
      <c r="L29" s="236">
        <v>0.31</v>
      </c>
      <c r="M29" s="479">
        <f>AC29/H1</f>
        <v>0.97112758486149042</v>
      </c>
      <c r="N29" s="70">
        <f>MIN($E29*L29,M29*$H$1)*J29</f>
        <v>24595.4</v>
      </c>
      <c r="O29" s="70">
        <f t="shared" si="1"/>
        <v>47024.6</v>
      </c>
      <c r="P29" s="20">
        <v>1</v>
      </c>
      <c r="R29" s="236">
        <f>S29/C29</f>
        <v>0.49989917322040733</v>
      </c>
      <c r="S29" s="70">
        <f>C29-T29</f>
        <v>24790</v>
      </c>
      <c r="T29" s="70">
        <v>24800</v>
      </c>
      <c r="U29" s="70"/>
      <c r="V29" s="70"/>
      <c r="W29" s="236">
        <f>X29/D29</f>
        <v>0.38451993175120208</v>
      </c>
      <c r="X29" s="70">
        <f>D29-Y29</f>
        <v>24790</v>
      </c>
      <c r="Y29" s="70">
        <v>39680</v>
      </c>
      <c r="Z29" s="70"/>
      <c r="AA29" s="70"/>
      <c r="AB29" s="236">
        <f>AC29/E29</f>
        <v>0.31371313335013862</v>
      </c>
      <c r="AC29" s="70">
        <f>E29-AD29</f>
        <v>24890</v>
      </c>
      <c r="AD29" s="70">
        <v>54450</v>
      </c>
    </row>
    <row r="30" spans="1:30" x14ac:dyDescent="0.2">
      <c r="A30" s="6"/>
      <c r="B30" s="15" t="s">
        <v>18</v>
      </c>
      <c r="C30" s="480">
        <v>19680</v>
      </c>
      <c r="D30" s="480">
        <v>25580</v>
      </c>
      <c r="E30" s="480">
        <v>31490</v>
      </c>
      <c r="F30" s="70">
        <v>28450</v>
      </c>
      <c r="G30" s="70">
        <v>35560</v>
      </c>
      <c r="H30" s="70">
        <v>49110</v>
      </c>
      <c r="I30" s="70">
        <v>71400</v>
      </c>
      <c r="J30" s="70">
        <v>1</v>
      </c>
      <c r="L30" s="236">
        <v>0.31</v>
      </c>
      <c r="M30" s="479">
        <f>AC30/H1</f>
        <v>0.38392508778774875</v>
      </c>
      <c r="N30" s="70">
        <f>MIN($E30*L30,M30*$H$1)*J30</f>
        <v>9761.9</v>
      </c>
      <c r="O30" s="70">
        <f t="shared" si="1"/>
        <v>18688.099999999999</v>
      </c>
      <c r="P30" s="20">
        <v>1</v>
      </c>
      <c r="R30" s="236">
        <f>S30/C30</f>
        <v>0.5</v>
      </c>
      <c r="S30" s="70">
        <f>C30-T30</f>
        <v>9840</v>
      </c>
      <c r="T30" s="70">
        <v>9840</v>
      </c>
      <c r="U30" s="70"/>
      <c r="V30" s="70"/>
      <c r="W30" s="236">
        <f>X30/D30</f>
        <v>0.3846755277560594</v>
      </c>
      <c r="X30" s="70">
        <f>D30-Y30</f>
        <v>9840</v>
      </c>
      <c r="Y30" s="70">
        <v>15740</v>
      </c>
      <c r="Z30" s="70"/>
      <c r="AA30" s="70"/>
      <c r="AB30" s="236">
        <f>AC30/E30</f>
        <v>0.31248015242934263</v>
      </c>
      <c r="AC30" s="70">
        <f>E30-AD30</f>
        <v>9840</v>
      </c>
      <c r="AD30" s="70">
        <v>21650</v>
      </c>
    </row>
    <row r="31" spans="1:30" x14ac:dyDescent="0.2">
      <c r="A31" s="6"/>
      <c r="B31" s="15" t="s">
        <v>19</v>
      </c>
      <c r="C31" s="480">
        <v>10450</v>
      </c>
      <c r="D31" s="480">
        <v>13560</v>
      </c>
      <c r="E31" s="480">
        <v>16690</v>
      </c>
      <c r="F31" s="70">
        <v>15820</v>
      </c>
      <c r="G31" s="70">
        <v>18840</v>
      </c>
      <c r="H31" s="70">
        <v>23030</v>
      </c>
      <c r="I31" s="70">
        <v>58700</v>
      </c>
      <c r="J31" s="70">
        <v>1</v>
      </c>
      <c r="L31" s="236">
        <v>0.31</v>
      </c>
      <c r="M31" s="479">
        <f>AC31/H1</f>
        <v>0.20327740928599297</v>
      </c>
      <c r="N31" s="70">
        <f>MIN($E31*L31,M31*$H$1)*J31</f>
        <v>5173.8999999999996</v>
      </c>
      <c r="O31" s="70">
        <f t="shared" si="1"/>
        <v>10646.1</v>
      </c>
      <c r="P31" s="20">
        <v>1</v>
      </c>
      <c r="R31" s="236">
        <f>S31/C31</f>
        <v>0.50047846889952152</v>
      </c>
      <c r="S31" s="70">
        <f>C31-T31</f>
        <v>5230</v>
      </c>
      <c r="T31" s="70">
        <v>5220</v>
      </c>
      <c r="U31" s="70"/>
      <c r="V31" s="70"/>
      <c r="W31" s="236">
        <f>X31/D31</f>
        <v>0.38421828908554573</v>
      </c>
      <c r="X31" s="70">
        <f>D31-Y31</f>
        <v>5210</v>
      </c>
      <c r="Y31" s="70">
        <v>8350</v>
      </c>
      <c r="Z31" s="70"/>
      <c r="AA31" s="70"/>
      <c r="AB31" s="236">
        <f>AC31/E31</f>
        <v>0.31216297183942482</v>
      </c>
      <c r="AC31" s="70">
        <f>E31-AD31</f>
        <v>5210</v>
      </c>
      <c r="AD31" s="70">
        <v>11480</v>
      </c>
    </row>
    <row r="32" spans="1:30" x14ac:dyDescent="0.2">
      <c r="A32" s="3"/>
      <c r="B32" s="4" t="s">
        <v>5</v>
      </c>
      <c r="C32" s="4"/>
      <c r="D32" s="4"/>
      <c r="E32" s="4"/>
      <c r="J32" s="177"/>
      <c r="L32" s="178"/>
      <c r="M32" s="178"/>
      <c r="N32" s="178"/>
      <c r="U32" s="70"/>
      <c r="V32" s="70"/>
      <c r="W32" s="70"/>
      <c r="X32" s="70"/>
      <c r="Y32" s="70"/>
      <c r="Z32" s="70"/>
      <c r="AA32" s="70"/>
      <c r="AB32" s="70"/>
      <c r="AC32" s="70"/>
      <c r="AD32" s="70"/>
    </row>
    <row r="33" spans="1:30" x14ac:dyDescent="0.2">
      <c r="A33" s="3"/>
      <c r="B33" s="4" t="s">
        <v>77</v>
      </c>
      <c r="C33" s="4"/>
      <c r="D33" s="4"/>
      <c r="E33" s="4"/>
      <c r="J33" s="177"/>
      <c r="L33" s="178"/>
      <c r="M33" s="178"/>
      <c r="N33" s="178"/>
      <c r="U33" s="70"/>
      <c r="V33" s="70"/>
      <c r="W33" s="70"/>
      <c r="X33" s="70"/>
      <c r="Y33" s="70"/>
      <c r="Z33" s="70"/>
      <c r="AA33" s="70"/>
      <c r="AB33" s="70"/>
      <c r="AC33" s="70"/>
      <c r="AD33" s="70"/>
    </row>
    <row r="34" spans="1:30" x14ac:dyDescent="0.2">
      <c r="A34" s="3"/>
      <c r="B34" s="4"/>
      <c r="C34" s="4"/>
      <c r="D34" s="4"/>
      <c r="E34" s="4"/>
      <c r="J34" s="177"/>
      <c r="L34" s="178"/>
      <c r="M34" s="178"/>
      <c r="N34" s="178"/>
      <c r="U34" s="70"/>
      <c r="V34" s="70"/>
      <c r="W34" s="70"/>
      <c r="X34" s="70"/>
      <c r="Y34" s="70"/>
      <c r="Z34" s="70"/>
      <c r="AA34" s="70"/>
      <c r="AB34" s="70"/>
      <c r="AC34" s="70"/>
      <c r="AD34" s="70"/>
    </row>
    <row r="35" spans="1:30" x14ac:dyDescent="0.2">
      <c r="A35" s="6"/>
      <c r="B35" s="14" t="s">
        <v>59</v>
      </c>
      <c r="C35" s="14"/>
      <c r="D35" s="14"/>
      <c r="E35" s="14"/>
      <c r="J35" s="177"/>
      <c r="L35" s="178"/>
      <c r="M35" s="178"/>
      <c r="N35" s="178"/>
      <c r="U35" s="70"/>
      <c r="V35" s="70"/>
      <c r="W35" s="70"/>
      <c r="X35" s="70"/>
      <c r="Y35" s="70"/>
      <c r="Z35" s="70"/>
      <c r="AA35" s="70"/>
      <c r="AB35" s="70"/>
      <c r="AC35" s="70"/>
      <c r="AD35" s="70"/>
    </row>
    <row r="36" spans="1:30" x14ac:dyDescent="0.2">
      <c r="A36" s="6"/>
      <c r="B36" s="14"/>
      <c r="C36" s="14"/>
      <c r="D36" s="14"/>
      <c r="E36" s="14"/>
      <c r="J36" s="177"/>
      <c r="L36" s="178"/>
      <c r="M36" s="178"/>
      <c r="N36" s="178"/>
      <c r="U36" s="70"/>
      <c r="V36" s="70"/>
      <c r="W36" s="70"/>
      <c r="X36" s="70"/>
      <c r="Y36" s="70"/>
      <c r="Z36" s="70"/>
      <c r="AA36" s="70"/>
      <c r="AB36" s="70"/>
      <c r="AC36" s="70"/>
      <c r="AD36" s="70"/>
    </row>
    <row r="37" spans="1:30" x14ac:dyDescent="0.2">
      <c r="A37" s="17" t="s">
        <v>39</v>
      </c>
      <c r="B37" s="5"/>
      <c r="C37" s="5"/>
      <c r="D37" s="5"/>
      <c r="E37" s="5"/>
      <c r="J37" s="177"/>
      <c r="L37" s="178"/>
      <c r="M37" s="178"/>
      <c r="N37" s="178"/>
      <c r="U37" s="70"/>
      <c r="V37" s="70"/>
      <c r="W37" s="70"/>
      <c r="X37" s="70"/>
      <c r="Y37" s="70"/>
      <c r="Z37" s="70"/>
      <c r="AA37" s="70"/>
      <c r="AB37" s="70"/>
      <c r="AC37" s="70"/>
      <c r="AD37" s="70"/>
    </row>
    <row r="38" spans="1:30" x14ac:dyDescent="0.2">
      <c r="A38" s="6"/>
      <c r="B38" s="4"/>
      <c r="C38" s="4"/>
      <c r="D38" s="4"/>
      <c r="E38" s="4"/>
      <c r="J38" s="177"/>
      <c r="L38" s="178"/>
      <c r="M38" s="178"/>
      <c r="N38" s="178"/>
      <c r="U38" s="70"/>
      <c r="V38" s="70"/>
      <c r="W38" s="70"/>
      <c r="X38" s="70"/>
      <c r="Y38" s="70"/>
      <c r="Z38" s="70"/>
      <c r="AA38" s="70"/>
      <c r="AB38" s="70"/>
      <c r="AC38" s="70"/>
      <c r="AD38" s="70"/>
    </row>
    <row r="39" spans="1:30" x14ac:dyDescent="0.2">
      <c r="A39" s="6"/>
      <c r="B39" s="4" t="s">
        <v>60</v>
      </c>
      <c r="C39" s="4"/>
      <c r="D39" s="4"/>
      <c r="E39" s="4"/>
      <c r="J39" s="177"/>
      <c r="L39" s="178"/>
      <c r="M39" s="178"/>
      <c r="N39" s="178"/>
      <c r="U39" s="70"/>
      <c r="V39" s="70"/>
      <c r="W39" s="70"/>
      <c r="X39" s="70"/>
      <c r="Y39" s="70"/>
      <c r="Z39" s="70"/>
      <c r="AA39" s="70"/>
      <c r="AB39" s="70"/>
      <c r="AC39" s="70"/>
      <c r="AD39" s="70"/>
    </row>
    <row r="40" spans="1:30" x14ac:dyDescent="0.2">
      <c r="A40" s="6"/>
      <c r="B40" s="15" t="s">
        <v>20</v>
      </c>
      <c r="C40" s="15"/>
      <c r="D40" s="15"/>
      <c r="E40" s="15"/>
      <c r="J40" s="177"/>
      <c r="L40" s="178"/>
      <c r="M40" s="178"/>
      <c r="N40" s="178"/>
      <c r="U40" s="70"/>
      <c r="V40" s="70"/>
      <c r="W40" s="70"/>
      <c r="X40" s="70"/>
      <c r="Y40" s="70"/>
      <c r="Z40" s="70"/>
      <c r="AA40" s="70"/>
      <c r="AB40" s="70"/>
      <c r="AC40" s="70"/>
      <c r="AD40" s="70"/>
    </row>
    <row r="41" spans="1:30" x14ac:dyDescent="0.2">
      <c r="A41" s="868" t="s">
        <v>66</v>
      </c>
      <c r="B41" s="868"/>
      <c r="C41" s="453"/>
      <c r="D41" s="453"/>
      <c r="E41" s="453"/>
      <c r="J41" s="177"/>
      <c r="L41" s="178"/>
      <c r="M41" s="178"/>
      <c r="N41" s="178"/>
      <c r="U41" s="70"/>
      <c r="V41" s="70"/>
      <c r="W41" s="70"/>
      <c r="X41" s="70"/>
      <c r="Y41" s="70"/>
      <c r="Z41" s="70"/>
      <c r="AA41" s="70"/>
      <c r="AB41" s="70"/>
      <c r="AC41" s="70"/>
      <c r="AD41" s="70"/>
    </row>
    <row r="42" spans="1:30" x14ac:dyDescent="0.2">
      <c r="A42" s="6"/>
      <c r="B42" s="15" t="s">
        <v>21</v>
      </c>
      <c r="C42" s="15"/>
      <c r="D42" s="15"/>
      <c r="E42" s="15">
        <v>70890</v>
      </c>
      <c r="J42" s="177"/>
      <c r="L42" s="178"/>
      <c r="M42" s="178"/>
      <c r="N42" s="178"/>
      <c r="O42" s="126">
        <v>14180</v>
      </c>
      <c r="U42" s="70"/>
      <c r="V42" s="70"/>
      <c r="W42" s="70"/>
      <c r="X42" s="70"/>
      <c r="Y42" s="70"/>
      <c r="Z42" s="70"/>
      <c r="AA42" s="70"/>
      <c r="AB42" s="70"/>
      <c r="AC42" s="70"/>
      <c r="AD42" s="70"/>
    </row>
    <row r="43" spans="1:30" x14ac:dyDescent="0.2">
      <c r="A43" s="6"/>
      <c r="B43" s="15" t="s">
        <v>22</v>
      </c>
      <c r="C43" s="15"/>
      <c r="D43" s="15"/>
      <c r="E43" s="15"/>
      <c r="J43" s="177"/>
      <c r="L43" s="178"/>
      <c r="M43" s="178"/>
      <c r="N43" s="178"/>
      <c r="U43" s="70"/>
      <c r="V43" s="70"/>
      <c r="W43" s="70"/>
      <c r="X43" s="70"/>
      <c r="Y43" s="70"/>
      <c r="Z43" s="70"/>
      <c r="AA43" s="70"/>
      <c r="AB43" s="70"/>
      <c r="AC43" s="70"/>
      <c r="AD43" s="70"/>
    </row>
    <row r="44" spans="1:30" x14ac:dyDescent="0.2">
      <c r="A44" s="6"/>
      <c r="B44" s="65" t="s">
        <v>23</v>
      </c>
      <c r="C44" s="65"/>
      <c r="D44" s="65"/>
      <c r="E44" s="65">
        <f>140780*5</f>
        <v>703900</v>
      </c>
      <c r="J44" s="177"/>
      <c r="L44" s="178"/>
      <c r="M44" s="178"/>
      <c r="N44" s="178"/>
      <c r="O44" s="126">
        <f>29360*5</f>
        <v>146800</v>
      </c>
      <c r="U44" s="70"/>
      <c r="V44" s="70"/>
      <c r="W44" s="70"/>
      <c r="X44" s="70"/>
      <c r="Y44" s="70"/>
      <c r="Z44" s="70"/>
      <c r="AA44" s="70"/>
      <c r="AB44" s="70"/>
      <c r="AC44" s="70"/>
      <c r="AD44" s="70"/>
    </row>
    <row r="45" spans="1:30" x14ac:dyDescent="0.2">
      <c r="A45" s="6"/>
      <c r="B45" s="15" t="s">
        <v>24</v>
      </c>
      <c r="C45" s="15"/>
      <c r="D45" s="15"/>
      <c r="E45" s="15"/>
      <c r="J45" s="177"/>
      <c r="L45" s="178"/>
      <c r="M45" s="178"/>
      <c r="N45" s="178"/>
      <c r="U45" s="70"/>
      <c r="V45" s="70"/>
      <c r="W45" s="70"/>
      <c r="X45" s="70"/>
      <c r="Y45" s="70"/>
      <c r="Z45" s="70"/>
      <c r="AA45" s="70"/>
      <c r="AB45" s="70"/>
      <c r="AC45" s="70"/>
      <c r="AD45" s="70"/>
    </row>
    <row r="46" spans="1:30" x14ac:dyDescent="0.2">
      <c r="A46" s="6"/>
      <c r="B46" s="15" t="s">
        <v>25</v>
      </c>
      <c r="C46" s="15"/>
      <c r="D46" s="15"/>
      <c r="E46" s="15"/>
      <c r="J46" s="177"/>
      <c r="L46" s="178"/>
      <c r="M46" s="178"/>
      <c r="N46" s="178"/>
      <c r="U46" s="70"/>
      <c r="V46" s="70"/>
      <c r="W46" s="70"/>
      <c r="X46" s="70"/>
      <c r="Y46" s="70"/>
      <c r="Z46" s="70"/>
      <c r="AA46" s="70"/>
      <c r="AB46" s="70"/>
      <c r="AC46" s="70"/>
      <c r="AD46" s="70"/>
    </row>
    <row r="47" spans="1:30" x14ac:dyDescent="0.2">
      <c r="A47" s="6"/>
      <c r="B47" s="15" t="s">
        <v>26</v>
      </c>
      <c r="C47" s="15"/>
      <c r="D47" s="15"/>
      <c r="E47" s="15"/>
      <c r="J47" s="177"/>
      <c r="L47" s="178"/>
      <c r="M47" s="178"/>
      <c r="N47" s="178"/>
      <c r="U47" s="70"/>
      <c r="V47" s="70"/>
      <c r="W47" s="70"/>
      <c r="X47" s="70"/>
      <c r="Y47" s="70"/>
      <c r="Z47" s="70"/>
      <c r="AA47" s="70"/>
      <c r="AB47" s="70"/>
      <c r="AC47" s="70"/>
      <c r="AD47" s="70"/>
    </row>
    <row r="48" spans="1:30" x14ac:dyDescent="0.2">
      <c r="A48" s="6"/>
      <c r="B48" s="15" t="s">
        <v>27</v>
      </c>
      <c r="C48" s="15"/>
      <c r="D48" s="15"/>
      <c r="E48" s="15"/>
      <c r="J48" s="177"/>
      <c r="L48" s="178"/>
      <c r="M48" s="178"/>
      <c r="N48" s="178"/>
      <c r="U48" s="70"/>
      <c r="V48" s="70"/>
      <c r="W48" s="70"/>
      <c r="X48" s="70"/>
      <c r="Y48" s="70"/>
      <c r="Z48" s="70"/>
      <c r="AA48" s="70"/>
      <c r="AB48" s="70"/>
      <c r="AC48" s="70"/>
      <c r="AD48" s="70"/>
    </row>
    <row r="49" spans="1:30" x14ac:dyDescent="0.2">
      <c r="A49" s="6"/>
      <c r="B49" s="15" t="s">
        <v>28</v>
      </c>
      <c r="C49" s="15"/>
      <c r="D49" s="15"/>
      <c r="E49" s="15"/>
      <c r="J49" s="177"/>
      <c r="L49" s="178"/>
      <c r="M49" s="178"/>
      <c r="N49" s="178"/>
      <c r="U49" s="70"/>
      <c r="V49" s="70"/>
      <c r="W49" s="70"/>
      <c r="X49" s="70"/>
      <c r="Y49" s="70"/>
      <c r="Z49" s="70"/>
      <c r="AA49" s="70"/>
      <c r="AB49" s="70"/>
      <c r="AC49" s="70"/>
      <c r="AD49" s="70"/>
    </row>
    <row r="50" spans="1:30" x14ac:dyDescent="0.2">
      <c r="A50" s="868" t="s">
        <v>67</v>
      </c>
      <c r="B50" s="868"/>
      <c r="C50" s="453"/>
      <c r="D50" s="453"/>
      <c r="E50" s="453"/>
      <c r="J50" s="177"/>
      <c r="L50" s="178"/>
      <c r="M50" s="178"/>
      <c r="N50" s="178"/>
      <c r="U50" s="70"/>
      <c r="V50" s="70"/>
      <c r="W50" s="70"/>
      <c r="X50" s="70"/>
      <c r="Y50" s="70"/>
      <c r="Z50" s="70"/>
      <c r="AA50" s="70"/>
      <c r="AB50" s="70"/>
      <c r="AC50" s="70"/>
      <c r="AD50" s="70"/>
    </row>
    <row r="51" spans="1:30" x14ac:dyDescent="0.2">
      <c r="A51" s="6"/>
      <c r="B51" s="15" t="s">
        <v>29</v>
      </c>
      <c r="C51" s="15"/>
      <c r="D51" s="15"/>
      <c r="E51" s="15"/>
      <c r="L51" s="178"/>
      <c r="M51" s="178"/>
      <c r="N51" s="178"/>
      <c r="U51" s="70"/>
      <c r="V51" s="70"/>
      <c r="W51" s="70"/>
      <c r="X51" s="70"/>
      <c r="Y51" s="70"/>
      <c r="Z51" s="70"/>
      <c r="AA51" s="70"/>
      <c r="AB51" s="70"/>
      <c r="AC51" s="70"/>
      <c r="AD51" s="70"/>
    </row>
    <row r="52" spans="1:30" x14ac:dyDescent="0.2">
      <c r="A52" s="6"/>
      <c r="B52" s="4" t="s">
        <v>5</v>
      </c>
      <c r="C52" s="4"/>
      <c r="D52" s="4"/>
      <c r="E52" s="4"/>
      <c r="L52" s="178"/>
      <c r="M52" s="178"/>
      <c r="N52" s="178"/>
      <c r="U52" s="70"/>
      <c r="V52" s="70"/>
      <c r="W52" s="70"/>
      <c r="X52" s="70"/>
      <c r="Y52" s="70"/>
      <c r="Z52" s="70"/>
      <c r="AA52" s="70"/>
      <c r="AB52" s="70"/>
      <c r="AC52" s="70"/>
      <c r="AD52" s="70"/>
    </row>
    <row r="53" spans="1:30" x14ac:dyDescent="0.2">
      <c r="A53" s="6"/>
      <c r="B53" s="4" t="s">
        <v>77</v>
      </c>
      <c r="C53" s="4"/>
      <c r="D53" s="4"/>
      <c r="E53" s="4"/>
      <c r="L53" s="178"/>
      <c r="M53" s="178"/>
      <c r="N53" s="178"/>
      <c r="U53" s="70"/>
      <c r="V53" s="70"/>
      <c r="W53" s="70"/>
      <c r="X53" s="70"/>
      <c r="Y53" s="70"/>
      <c r="Z53" s="70"/>
      <c r="AA53" s="70"/>
      <c r="AB53" s="70"/>
      <c r="AC53" s="70"/>
      <c r="AD53" s="70"/>
    </row>
    <row r="54" spans="1:30" x14ac:dyDescent="0.2">
      <c r="A54" s="6"/>
      <c r="B54" s="15"/>
      <c r="C54" s="15"/>
      <c r="D54" s="15"/>
      <c r="E54" s="15"/>
      <c r="L54" s="178"/>
      <c r="M54" s="178"/>
      <c r="N54" s="178"/>
      <c r="U54" s="70"/>
      <c r="V54" s="70"/>
      <c r="W54" s="70"/>
      <c r="X54" s="70"/>
      <c r="Y54" s="70"/>
      <c r="Z54" s="70"/>
      <c r="AA54" s="70"/>
      <c r="AB54" s="70"/>
      <c r="AC54" s="70"/>
      <c r="AD54" s="70"/>
    </row>
    <row r="55" spans="1:30" x14ac:dyDescent="0.2">
      <c r="A55" s="6"/>
      <c r="B55" s="4" t="s">
        <v>61</v>
      </c>
      <c r="C55" s="4"/>
      <c r="D55" s="4"/>
      <c r="E55" s="4"/>
      <c r="L55" s="178"/>
      <c r="M55" s="178"/>
      <c r="N55" s="178"/>
      <c r="U55" s="70"/>
      <c r="V55" s="70"/>
      <c r="W55" s="70"/>
      <c r="X55" s="70"/>
      <c r="Y55" s="70"/>
      <c r="Z55" s="70"/>
      <c r="AA55" s="70"/>
      <c r="AB55" s="70"/>
      <c r="AC55" s="70"/>
      <c r="AD55" s="70"/>
    </row>
    <row r="56" spans="1:30" x14ac:dyDescent="0.2">
      <c r="A56" s="175" t="e">
        <f>F56/$F$73</f>
        <v>#DIV/0!</v>
      </c>
      <c r="B56" s="15" t="s">
        <v>30</v>
      </c>
      <c r="C56" s="15"/>
      <c r="D56" s="15"/>
      <c r="E56" s="15"/>
      <c r="L56" s="178"/>
      <c r="M56" s="178"/>
      <c r="N56" s="178"/>
      <c r="U56" s="70"/>
      <c r="V56" s="70"/>
      <c r="W56" s="70"/>
      <c r="X56" s="70"/>
      <c r="Y56" s="70"/>
      <c r="Z56" s="70"/>
      <c r="AA56" s="70"/>
      <c r="AB56" s="70"/>
      <c r="AC56" s="70"/>
      <c r="AD56" s="70"/>
    </row>
    <row r="57" spans="1:30" x14ac:dyDescent="0.2">
      <c r="A57" s="175" t="e">
        <f t="shared" ref="A57:A64" si="5">F57/$F$73</f>
        <v>#DIV/0!</v>
      </c>
      <c r="B57" s="15" t="s">
        <v>31</v>
      </c>
      <c r="C57" s="15"/>
      <c r="D57" s="15"/>
      <c r="E57" s="15"/>
      <c r="L57" s="178"/>
      <c r="M57" s="178"/>
      <c r="N57" s="178"/>
      <c r="U57" s="70"/>
      <c r="V57" s="70"/>
      <c r="W57" s="70"/>
      <c r="X57" s="70"/>
      <c r="Y57" s="70"/>
      <c r="Z57" s="70"/>
      <c r="AA57" s="70"/>
      <c r="AB57" s="70"/>
      <c r="AC57" s="70"/>
      <c r="AD57" s="70"/>
    </row>
    <row r="58" spans="1:30" x14ac:dyDescent="0.2">
      <c r="A58" s="175" t="e">
        <f t="shared" si="5"/>
        <v>#DIV/0!</v>
      </c>
      <c r="B58" s="15" t="s">
        <v>32</v>
      </c>
      <c r="C58" s="15"/>
      <c r="D58" s="15"/>
      <c r="E58" s="15"/>
      <c r="L58" s="178"/>
      <c r="M58" s="178"/>
      <c r="N58" s="178"/>
      <c r="U58" s="70"/>
      <c r="V58" s="70"/>
      <c r="W58" s="70"/>
      <c r="X58" s="70"/>
      <c r="Y58" s="70"/>
      <c r="Z58" s="70"/>
      <c r="AA58" s="70"/>
      <c r="AB58" s="70"/>
      <c r="AC58" s="70"/>
      <c r="AD58" s="70"/>
    </row>
    <row r="59" spans="1:30" x14ac:dyDescent="0.2">
      <c r="A59" s="175" t="e">
        <f t="shared" si="5"/>
        <v>#DIV/0!</v>
      </c>
      <c r="B59" s="15" t="s">
        <v>33</v>
      </c>
      <c r="C59" s="15"/>
      <c r="D59" s="15"/>
      <c r="E59" s="15"/>
      <c r="U59" s="70"/>
      <c r="V59" s="70"/>
      <c r="W59" s="70"/>
      <c r="X59" s="70"/>
      <c r="Y59" s="70"/>
      <c r="Z59" s="70"/>
      <c r="AA59" s="70"/>
      <c r="AB59" s="70"/>
      <c r="AC59" s="70"/>
      <c r="AD59" s="70"/>
    </row>
    <row r="60" spans="1:30" x14ac:dyDescent="0.2">
      <c r="A60" s="175" t="e">
        <f t="shared" si="5"/>
        <v>#DIV/0!</v>
      </c>
      <c r="B60" s="15" t="s">
        <v>34</v>
      </c>
      <c r="C60" s="15"/>
      <c r="D60" s="15"/>
      <c r="E60" s="15"/>
      <c r="U60" s="70"/>
      <c r="V60" s="70"/>
      <c r="W60" s="70"/>
      <c r="X60" s="70"/>
      <c r="Y60" s="70"/>
      <c r="Z60" s="70"/>
      <c r="AA60" s="70"/>
      <c r="AB60" s="70"/>
      <c r="AC60" s="70"/>
      <c r="AD60" s="70"/>
    </row>
    <row r="61" spans="1:30" x14ac:dyDescent="0.2">
      <c r="A61" s="175" t="e">
        <f t="shared" si="5"/>
        <v>#DIV/0!</v>
      </c>
      <c r="B61" s="15" t="s">
        <v>35</v>
      </c>
      <c r="C61" s="15"/>
      <c r="D61" s="15"/>
      <c r="E61" s="15"/>
      <c r="U61" s="70"/>
      <c r="V61" s="70"/>
      <c r="W61" s="70"/>
      <c r="X61" s="70"/>
      <c r="Y61" s="70"/>
      <c r="Z61" s="70"/>
      <c r="AA61" s="70"/>
      <c r="AB61" s="70"/>
      <c r="AC61" s="70"/>
      <c r="AD61" s="70"/>
    </row>
    <row r="62" spans="1:30" x14ac:dyDescent="0.2">
      <c r="A62" s="175" t="e">
        <f t="shared" si="5"/>
        <v>#DIV/0!</v>
      </c>
      <c r="B62" s="15" t="s">
        <v>36</v>
      </c>
      <c r="C62" s="15"/>
      <c r="D62" s="15"/>
      <c r="E62" s="15"/>
      <c r="U62" s="70"/>
      <c r="V62" s="70"/>
      <c r="W62" s="70"/>
      <c r="X62" s="70"/>
      <c r="Y62" s="70"/>
      <c r="Z62" s="70"/>
      <c r="AA62" s="70"/>
      <c r="AB62" s="70"/>
      <c r="AC62" s="70"/>
      <c r="AD62" s="70"/>
    </row>
    <row r="63" spans="1:30" x14ac:dyDescent="0.2">
      <c r="A63" s="175" t="e">
        <f t="shared" si="5"/>
        <v>#DIV/0!</v>
      </c>
      <c r="B63" s="15" t="s">
        <v>37</v>
      </c>
      <c r="C63" s="15"/>
      <c r="D63" s="15"/>
      <c r="E63" s="15"/>
      <c r="U63" s="70"/>
      <c r="V63" s="70"/>
      <c r="W63" s="70"/>
      <c r="X63" s="70"/>
      <c r="Y63" s="70"/>
      <c r="Z63" s="70"/>
      <c r="AA63" s="70"/>
      <c r="AB63" s="70"/>
      <c r="AC63" s="70"/>
      <c r="AD63" s="70"/>
    </row>
    <row r="64" spans="1:30" x14ac:dyDescent="0.2">
      <c r="A64" s="175" t="e">
        <f t="shared" si="5"/>
        <v>#DIV/0!</v>
      </c>
      <c r="B64" s="15" t="s">
        <v>38</v>
      </c>
      <c r="C64" s="15"/>
      <c r="D64" s="15"/>
      <c r="E64" s="15"/>
      <c r="U64" s="70"/>
      <c r="V64" s="70"/>
      <c r="W64" s="70"/>
      <c r="X64" s="70"/>
      <c r="Y64" s="70"/>
      <c r="Z64" s="70"/>
      <c r="AA64" s="70"/>
      <c r="AB64" s="70"/>
      <c r="AC64" s="70"/>
      <c r="AD64" s="70"/>
    </row>
    <row r="65" spans="1:30" x14ac:dyDescent="0.2">
      <c r="A65" s="6"/>
      <c r="B65" s="4" t="s">
        <v>5</v>
      </c>
      <c r="C65" s="4"/>
      <c r="D65" s="4"/>
      <c r="E65" s="4"/>
      <c r="U65" s="70"/>
      <c r="V65" s="70"/>
      <c r="W65" s="70"/>
      <c r="X65" s="70"/>
      <c r="Y65" s="70"/>
      <c r="Z65" s="70"/>
      <c r="AA65" s="70"/>
      <c r="AB65" s="70"/>
      <c r="AC65" s="70"/>
      <c r="AD65" s="70"/>
    </row>
    <row r="66" spans="1:30" x14ac:dyDescent="0.2">
      <c r="A66" s="6"/>
      <c r="B66" s="4" t="s">
        <v>77</v>
      </c>
      <c r="C66" s="4"/>
      <c r="D66" s="4"/>
      <c r="E66" s="4"/>
      <c r="U66" s="70"/>
      <c r="V66" s="70"/>
      <c r="W66" s="70"/>
      <c r="X66" s="70"/>
      <c r="Y66" s="70"/>
      <c r="Z66" s="70"/>
      <c r="AA66" s="70"/>
      <c r="AB66" s="70"/>
      <c r="AC66" s="70"/>
      <c r="AD66" s="70"/>
    </row>
    <row r="67" spans="1:30" x14ac:dyDescent="0.2">
      <c r="A67" s="6"/>
      <c r="B67" s="4"/>
      <c r="C67" s="4"/>
      <c r="D67" s="4"/>
      <c r="E67" s="4"/>
      <c r="U67" s="70"/>
      <c r="V67" s="70"/>
      <c r="W67" s="70"/>
      <c r="X67" s="70"/>
      <c r="Y67" s="70"/>
      <c r="Z67" s="70"/>
      <c r="AA67" s="70"/>
      <c r="AB67" s="70"/>
      <c r="AC67" s="70"/>
      <c r="AD67" s="70"/>
    </row>
    <row r="68" spans="1:30" x14ac:dyDescent="0.2">
      <c r="A68" s="6"/>
      <c r="B68" s="4"/>
      <c r="C68" s="4"/>
      <c r="D68" s="4"/>
      <c r="E68" s="4"/>
      <c r="U68" s="70"/>
      <c r="V68" s="70"/>
      <c r="W68" s="70"/>
      <c r="X68" s="70"/>
      <c r="Y68" s="70"/>
      <c r="Z68" s="70"/>
      <c r="AA68" s="70"/>
      <c r="AB68" s="70"/>
      <c r="AC68" s="70"/>
      <c r="AD68" s="70"/>
    </row>
    <row r="69" spans="1:30" x14ac:dyDescent="0.2">
      <c r="A69" s="6"/>
      <c r="B69" s="4" t="s">
        <v>64</v>
      </c>
      <c r="C69" s="4"/>
      <c r="D69" s="4"/>
      <c r="E69" s="4"/>
      <c r="U69" s="70"/>
      <c r="V69" s="70"/>
      <c r="W69" s="70"/>
      <c r="X69" s="70"/>
      <c r="Y69" s="70"/>
      <c r="Z69" s="70"/>
      <c r="AA69" s="70"/>
      <c r="AB69" s="70"/>
      <c r="AC69" s="70"/>
      <c r="AD69" s="70"/>
    </row>
    <row r="70" spans="1:30" x14ac:dyDescent="0.2">
      <c r="A70" s="6"/>
      <c r="B70" s="15"/>
      <c r="C70" s="15"/>
      <c r="D70" s="15"/>
      <c r="E70" s="15"/>
      <c r="U70" s="70"/>
      <c r="V70" s="70"/>
      <c r="W70" s="70"/>
      <c r="X70" s="70"/>
      <c r="Y70" s="70"/>
      <c r="Z70" s="70"/>
      <c r="AA70" s="70"/>
      <c r="AB70" s="70"/>
      <c r="AC70" s="70"/>
      <c r="AD70" s="70"/>
    </row>
    <row r="71" spans="1:30" x14ac:dyDescent="0.2">
      <c r="A71" s="6"/>
      <c r="B71" s="6"/>
      <c r="C71" s="6"/>
      <c r="D71" s="6"/>
      <c r="E71" s="6"/>
      <c r="U71" s="70"/>
      <c r="V71" s="70"/>
      <c r="W71" s="70"/>
      <c r="X71" s="70"/>
      <c r="Y71" s="70"/>
      <c r="Z71" s="70"/>
      <c r="AA71" s="70"/>
      <c r="AB71" s="70"/>
      <c r="AC71" s="70"/>
      <c r="AD71" s="70"/>
    </row>
    <row r="72" spans="1:30" x14ac:dyDescent="0.2">
      <c r="A72" s="6"/>
      <c r="B72" s="4" t="s">
        <v>62</v>
      </c>
      <c r="C72" s="4"/>
      <c r="D72" s="4"/>
      <c r="E72" s="4"/>
      <c r="U72" s="70"/>
      <c r="V72" s="70"/>
      <c r="W72" s="70"/>
      <c r="X72" s="70"/>
      <c r="Y72" s="70"/>
      <c r="Z72" s="70"/>
      <c r="AA72" s="70"/>
      <c r="AB72" s="70"/>
      <c r="AC72" s="70"/>
      <c r="AD72" s="70"/>
    </row>
    <row r="73" spans="1:30" x14ac:dyDescent="0.2">
      <c r="A73" s="6"/>
      <c r="B73" s="15" t="s">
        <v>20</v>
      </c>
      <c r="C73" s="15"/>
      <c r="D73" s="15"/>
      <c r="E73" s="15"/>
      <c r="U73" s="70"/>
      <c r="V73" s="70"/>
      <c r="W73" s="70"/>
      <c r="X73" s="70"/>
      <c r="Y73" s="70"/>
      <c r="Z73" s="70"/>
      <c r="AA73" s="70"/>
      <c r="AB73" s="70"/>
      <c r="AC73" s="70"/>
      <c r="AD73" s="70"/>
    </row>
    <row r="74" spans="1:30" x14ac:dyDescent="0.2">
      <c r="A74" s="6"/>
      <c r="B74" s="15" t="s">
        <v>40</v>
      </c>
      <c r="C74" s="15"/>
      <c r="D74" s="15"/>
      <c r="E74" s="15"/>
      <c r="U74" s="70"/>
      <c r="V74" s="70"/>
      <c r="W74" s="70"/>
      <c r="X74" s="70"/>
      <c r="Y74" s="70"/>
      <c r="Z74" s="70"/>
      <c r="AA74" s="70"/>
      <c r="AB74" s="70"/>
      <c r="AC74" s="70"/>
      <c r="AD74" s="70"/>
    </row>
    <row r="75" spans="1:30" x14ac:dyDescent="0.2">
      <c r="A75" s="6"/>
      <c r="B75" s="65" t="s">
        <v>41</v>
      </c>
      <c r="C75" s="65"/>
      <c r="D75" s="65"/>
      <c r="E75" s="65"/>
      <c r="U75" s="70"/>
      <c r="V75" s="70"/>
      <c r="W75" s="70"/>
      <c r="X75" s="70"/>
      <c r="Y75" s="70"/>
      <c r="Z75" s="70"/>
      <c r="AA75" s="70"/>
      <c r="AB75" s="70"/>
      <c r="AC75" s="70"/>
      <c r="AD75" s="70"/>
    </row>
    <row r="76" spans="1:30" x14ac:dyDescent="0.2">
      <c r="A76" s="6"/>
      <c r="B76" s="15" t="s">
        <v>24</v>
      </c>
      <c r="C76" s="15"/>
      <c r="D76" s="15"/>
      <c r="E76" s="15"/>
      <c r="U76" s="70"/>
      <c r="V76" s="70"/>
      <c r="W76" s="70"/>
      <c r="X76" s="70"/>
      <c r="Y76" s="70"/>
      <c r="Z76" s="70"/>
      <c r="AA76" s="70"/>
      <c r="AB76" s="70"/>
      <c r="AC76" s="70"/>
      <c r="AD76" s="70"/>
    </row>
    <row r="77" spans="1:30" x14ac:dyDescent="0.2">
      <c r="A77" s="6"/>
      <c r="B77" s="15" t="s">
        <v>25</v>
      </c>
      <c r="C77" s="15"/>
      <c r="D77" s="15"/>
      <c r="E77" s="15"/>
      <c r="U77" s="70"/>
      <c r="V77" s="70"/>
      <c r="W77" s="70"/>
      <c r="X77" s="70"/>
      <c r="Y77" s="70"/>
      <c r="Z77" s="70"/>
      <c r="AA77" s="70"/>
      <c r="AB77" s="70"/>
      <c r="AC77" s="70"/>
      <c r="AD77" s="70"/>
    </row>
    <row r="78" spans="1:30" x14ac:dyDescent="0.2">
      <c r="A78" s="6"/>
      <c r="B78" s="15" t="s">
        <v>42</v>
      </c>
      <c r="C78" s="15"/>
      <c r="D78" s="15"/>
      <c r="E78" s="15"/>
      <c r="U78" s="70"/>
      <c r="V78" s="70"/>
      <c r="W78" s="70"/>
      <c r="X78" s="70"/>
      <c r="Y78" s="70"/>
      <c r="Z78" s="70"/>
      <c r="AA78" s="70"/>
      <c r="AB78" s="70"/>
      <c r="AC78" s="70"/>
      <c r="AD78" s="70"/>
    </row>
    <row r="79" spans="1:30" x14ac:dyDescent="0.2">
      <c r="A79" s="6"/>
      <c r="B79" s="4" t="s">
        <v>5</v>
      </c>
      <c r="C79" s="4"/>
      <c r="D79" s="4"/>
      <c r="E79" s="4"/>
      <c r="U79" s="70"/>
      <c r="V79" s="70"/>
      <c r="W79" s="70"/>
      <c r="X79" s="70"/>
      <c r="Y79" s="70"/>
      <c r="Z79" s="70"/>
      <c r="AA79" s="70"/>
      <c r="AB79" s="70"/>
      <c r="AC79" s="70"/>
      <c r="AD79" s="70"/>
    </row>
    <row r="80" spans="1:30" x14ac:dyDescent="0.2">
      <c r="A80" s="6"/>
      <c r="B80" s="4" t="s">
        <v>77</v>
      </c>
      <c r="C80" s="4"/>
      <c r="D80" s="4"/>
      <c r="E80" s="4"/>
      <c r="U80" s="70"/>
      <c r="V80" s="70"/>
      <c r="W80" s="70"/>
      <c r="X80" s="70"/>
      <c r="Y80" s="70"/>
      <c r="Z80" s="70"/>
      <c r="AA80" s="70"/>
      <c r="AB80" s="70"/>
      <c r="AC80" s="70"/>
      <c r="AD80" s="70"/>
    </row>
    <row r="81" spans="1:30" x14ac:dyDescent="0.2">
      <c r="A81" s="6"/>
      <c r="B81" s="4"/>
      <c r="C81" s="4"/>
      <c r="D81" s="4"/>
      <c r="E81" s="4"/>
      <c r="U81" s="70"/>
      <c r="V81" s="70"/>
      <c r="W81" s="70"/>
      <c r="X81" s="70"/>
      <c r="Y81" s="70"/>
      <c r="Z81" s="70"/>
      <c r="AA81" s="70"/>
      <c r="AB81" s="70"/>
      <c r="AC81" s="70"/>
      <c r="AD81" s="70"/>
    </row>
    <row r="82" spans="1:30" x14ac:dyDescent="0.2">
      <c r="A82" s="6"/>
      <c r="B82" s="4" t="s">
        <v>63</v>
      </c>
      <c r="C82" s="4"/>
      <c r="D82" s="4"/>
      <c r="E82" s="4"/>
      <c r="U82" s="70"/>
      <c r="V82" s="70"/>
      <c r="W82" s="70"/>
      <c r="X82" s="70"/>
      <c r="Y82" s="70"/>
      <c r="Z82" s="70"/>
      <c r="AA82" s="70"/>
      <c r="AB82" s="70"/>
      <c r="AC82" s="70"/>
      <c r="AD82" s="70"/>
    </row>
    <row r="83" spans="1:30" x14ac:dyDescent="0.2">
      <c r="A83" s="175" t="e">
        <f>F83/$F$95</f>
        <v>#DIV/0!</v>
      </c>
      <c r="B83" s="15" t="s">
        <v>30</v>
      </c>
      <c r="C83" s="15"/>
      <c r="D83" s="15"/>
      <c r="E83" s="15"/>
      <c r="U83" s="70"/>
      <c r="V83" s="70"/>
      <c r="W83" s="70"/>
      <c r="X83" s="70"/>
      <c r="Y83" s="70"/>
      <c r="Z83" s="70"/>
      <c r="AA83" s="70"/>
      <c r="AB83" s="70"/>
      <c r="AC83" s="70"/>
      <c r="AD83" s="70"/>
    </row>
    <row r="84" spans="1:30" x14ac:dyDescent="0.2">
      <c r="A84" s="175" t="e">
        <f>F84/$F$95</f>
        <v>#DIV/0!</v>
      </c>
      <c r="B84" s="15" t="s">
        <v>43</v>
      </c>
      <c r="C84" s="15"/>
      <c r="D84" s="15"/>
      <c r="E84" s="15"/>
      <c r="U84" s="70"/>
      <c r="V84" s="70"/>
      <c r="W84" s="70"/>
      <c r="X84" s="70"/>
      <c r="Y84" s="70"/>
      <c r="Z84" s="70"/>
      <c r="AA84" s="70"/>
      <c r="AB84" s="70"/>
      <c r="AC84" s="70"/>
      <c r="AD84" s="70"/>
    </row>
    <row r="85" spans="1:30" x14ac:dyDescent="0.2">
      <c r="A85" s="175" t="e">
        <f>F85/$F$95</f>
        <v>#DIV/0!</v>
      </c>
      <c r="B85" s="15" t="s">
        <v>44</v>
      </c>
      <c r="C85" s="15"/>
      <c r="D85" s="15"/>
      <c r="E85" s="15"/>
      <c r="U85" s="70"/>
      <c r="V85" s="70"/>
      <c r="W85" s="70"/>
      <c r="X85" s="70"/>
      <c r="Y85" s="70"/>
      <c r="Z85" s="70"/>
      <c r="AA85" s="70"/>
      <c r="AB85" s="70"/>
      <c r="AC85" s="70"/>
      <c r="AD85" s="70"/>
    </row>
    <row r="86" spans="1:30" x14ac:dyDescent="0.2">
      <c r="A86" s="175" t="e">
        <f>F86/$F$95</f>
        <v>#DIV/0!</v>
      </c>
      <c r="B86" s="15" t="s">
        <v>37</v>
      </c>
      <c r="C86" s="15"/>
      <c r="D86" s="15"/>
      <c r="E86" s="15"/>
      <c r="U86" s="70"/>
      <c r="V86" s="70"/>
      <c r="W86" s="70"/>
      <c r="X86" s="70"/>
      <c r="Y86" s="70"/>
      <c r="Z86" s="70"/>
      <c r="AA86" s="70"/>
      <c r="AB86" s="70"/>
      <c r="AC86" s="70"/>
      <c r="AD86" s="70"/>
    </row>
    <row r="87" spans="1:30" x14ac:dyDescent="0.2">
      <c r="A87" s="6"/>
      <c r="B87" s="4" t="s">
        <v>5</v>
      </c>
      <c r="C87" s="4"/>
      <c r="D87" s="4"/>
      <c r="E87" s="4"/>
      <c r="U87" s="70"/>
      <c r="V87" s="70"/>
      <c r="W87" s="70"/>
      <c r="X87" s="70"/>
      <c r="Y87" s="70"/>
      <c r="Z87" s="70"/>
      <c r="AA87" s="70"/>
      <c r="AB87" s="70"/>
      <c r="AC87" s="70"/>
      <c r="AD87" s="70"/>
    </row>
    <row r="88" spans="1:30" x14ac:dyDescent="0.2">
      <c r="A88" s="6"/>
      <c r="B88" s="4" t="s">
        <v>77</v>
      </c>
      <c r="C88" s="4"/>
      <c r="D88" s="4"/>
      <c r="E88" s="4"/>
      <c r="U88" s="70"/>
      <c r="V88" s="70"/>
      <c r="W88" s="70"/>
      <c r="X88" s="70"/>
      <c r="Y88" s="70"/>
      <c r="Z88" s="70"/>
      <c r="AA88" s="70"/>
      <c r="AB88" s="70"/>
      <c r="AC88" s="70"/>
      <c r="AD88" s="70"/>
    </row>
    <row r="89" spans="1:30" x14ac:dyDescent="0.2">
      <c r="A89" s="6"/>
      <c r="B89" s="4"/>
      <c r="C89" s="4"/>
      <c r="D89" s="4"/>
      <c r="E89" s="4"/>
      <c r="U89" s="70"/>
      <c r="V89" s="70"/>
      <c r="W89" s="70"/>
      <c r="X89" s="70"/>
      <c r="Y89" s="70"/>
      <c r="Z89" s="70"/>
      <c r="AA89" s="70"/>
      <c r="AB89" s="70"/>
      <c r="AC89" s="70"/>
      <c r="AD89" s="70"/>
    </row>
    <row r="90" spans="1:30" x14ac:dyDescent="0.2">
      <c r="A90" s="6"/>
      <c r="B90" s="15"/>
      <c r="C90" s="15"/>
      <c r="D90" s="15"/>
      <c r="E90" s="15"/>
      <c r="U90" s="70"/>
      <c r="V90" s="70"/>
      <c r="W90" s="70"/>
      <c r="X90" s="70"/>
      <c r="Y90" s="70"/>
      <c r="Z90" s="70"/>
      <c r="AA90" s="70"/>
      <c r="AB90" s="70"/>
      <c r="AC90" s="70"/>
      <c r="AD90" s="70"/>
    </row>
    <row r="91" spans="1:30" x14ac:dyDescent="0.2">
      <c r="A91" s="6"/>
      <c r="B91" s="4" t="s">
        <v>65</v>
      </c>
      <c r="C91" s="4"/>
      <c r="D91" s="4"/>
      <c r="E91" s="4"/>
      <c r="U91" s="70"/>
      <c r="V91" s="70"/>
      <c r="W91" s="70"/>
      <c r="X91" s="70"/>
      <c r="Y91" s="70"/>
      <c r="Z91" s="70"/>
      <c r="AA91" s="70"/>
      <c r="AB91" s="70"/>
      <c r="AC91" s="70"/>
      <c r="AD91" s="70"/>
    </row>
    <row r="92" spans="1:30" x14ac:dyDescent="0.2">
      <c r="A92" s="6"/>
      <c r="B92" s="4" t="s">
        <v>295</v>
      </c>
      <c r="C92" s="4"/>
      <c r="D92" s="4"/>
      <c r="E92" s="4"/>
      <c r="U92" s="70"/>
      <c r="V92" s="70"/>
      <c r="W92" s="70"/>
      <c r="X92" s="70"/>
      <c r="Y92" s="70"/>
      <c r="Z92" s="70"/>
      <c r="AA92" s="70"/>
      <c r="AB92" s="70"/>
      <c r="AC92" s="70"/>
      <c r="AD92" s="70"/>
    </row>
    <row r="93" spans="1:30" x14ac:dyDescent="0.2">
      <c r="A93" s="6"/>
      <c r="B93" s="4"/>
      <c r="C93" s="4"/>
      <c r="D93" s="4"/>
      <c r="E93" s="4"/>
      <c r="U93" s="70"/>
      <c r="V93" s="70"/>
      <c r="W93" s="70"/>
      <c r="X93" s="70"/>
      <c r="Y93" s="70"/>
      <c r="Z93" s="70"/>
      <c r="AA93" s="70"/>
      <c r="AB93" s="70"/>
      <c r="AC93" s="70"/>
      <c r="AD93" s="70"/>
    </row>
    <row r="94" spans="1:30" x14ac:dyDescent="0.2">
      <c r="A94" s="6"/>
      <c r="B94" s="4"/>
      <c r="C94" s="4"/>
      <c r="D94" s="4"/>
      <c r="E94" s="4"/>
      <c r="U94" s="70"/>
      <c r="V94" s="70"/>
      <c r="W94" s="70"/>
      <c r="X94" s="70"/>
      <c r="Y94" s="70"/>
      <c r="Z94" s="70"/>
      <c r="AA94" s="70"/>
      <c r="AB94" s="70"/>
      <c r="AC94" s="70"/>
      <c r="AD94" s="70"/>
    </row>
    <row r="95" spans="1:30" x14ac:dyDescent="0.2">
      <c r="A95" s="6"/>
      <c r="B95" s="4" t="s">
        <v>189</v>
      </c>
      <c r="C95" s="4"/>
      <c r="D95" s="4"/>
      <c r="E95" s="4"/>
      <c r="U95" s="70"/>
      <c r="V95" s="70"/>
      <c r="W95" s="70"/>
      <c r="X95" s="70"/>
      <c r="Y95" s="70"/>
      <c r="Z95" s="70"/>
      <c r="AA95" s="70"/>
      <c r="AB95" s="70"/>
      <c r="AC95" s="70"/>
      <c r="AD95" s="70"/>
    </row>
    <row r="96" spans="1:30" x14ac:dyDescent="0.2">
      <c r="A96" s="6"/>
      <c r="B96" s="19" t="s">
        <v>190</v>
      </c>
      <c r="C96" s="19"/>
      <c r="D96" s="19"/>
      <c r="E96" s="19"/>
      <c r="U96" s="70"/>
      <c r="V96" s="70"/>
      <c r="W96" s="70"/>
      <c r="X96" s="70"/>
      <c r="Y96" s="70"/>
      <c r="Z96" s="70"/>
      <c r="AA96" s="70"/>
      <c r="AB96" s="70"/>
      <c r="AC96" s="70"/>
      <c r="AD96" s="70"/>
    </row>
    <row r="97" spans="1:30" x14ac:dyDescent="0.2">
      <c r="A97" s="6"/>
      <c r="B97" s="82" t="s">
        <v>188</v>
      </c>
      <c r="C97" s="82"/>
      <c r="D97" s="82"/>
      <c r="E97" s="82"/>
      <c r="U97" s="70"/>
      <c r="V97" s="70"/>
      <c r="W97" s="70"/>
      <c r="X97" s="70"/>
      <c r="Y97" s="70"/>
      <c r="Z97" s="70"/>
      <c r="AA97" s="70"/>
      <c r="AB97" s="70"/>
      <c r="AC97" s="70"/>
      <c r="AD97" s="70"/>
    </row>
    <row r="98" spans="1:30" x14ac:dyDescent="0.2">
      <c r="A98" s="6"/>
      <c r="B98" s="7"/>
      <c r="C98" s="7"/>
      <c r="D98" s="7"/>
      <c r="E98" s="7"/>
      <c r="U98" s="70"/>
      <c r="V98" s="70"/>
      <c r="W98" s="70"/>
      <c r="X98" s="70"/>
      <c r="Y98" s="70"/>
      <c r="Z98" s="70"/>
      <c r="AA98" s="70"/>
      <c r="AB98" s="70"/>
      <c r="AC98" s="70"/>
      <c r="AD98" s="70"/>
    </row>
    <row r="99" spans="1:30" x14ac:dyDescent="0.2">
      <c r="A99" s="6"/>
      <c r="B99" s="5"/>
      <c r="C99" s="5"/>
      <c r="D99" s="5"/>
      <c r="E99" s="5"/>
      <c r="U99" s="70"/>
      <c r="V99" s="70"/>
      <c r="W99" s="70"/>
      <c r="X99" s="70"/>
      <c r="Y99" s="70"/>
      <c r="Z99" s="70"/>
      <c r="AA99" s="70"/>
      <c r="AB99" s="70"/>
      <c r="AC99" s="70"/>
      <c r="AD99" s="70"/>
    </row>
    <row r="100" spans="1:30" x14ac:dyDescent="0.2">
      <c r="A100" s="19" t="s">
        <v>78</v>
      </c>
      <c r="B100" s="18" t="s">
        <v>79</v>
      </c>
      <c r="C100" s="18"/>
      <c r="D100" s="18"/>
      <c r="E100" s="18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</row>
    <row r="101" spans="1:30" x14ac:dyDescent="0.2">
      <c r="A101" s="7"/>
      <c r="B101" s="21" t="s">
        <v>80</v>
      </c>
      <c r="C101" s="21"/>
      <c r="D101" s="21"/>
      <c r="E101" s="21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</row>
    <row r="102" spans="1:30" x14ac:dyDescent="0.2">
      <c r="A102" s="7"/>
      <c r="B102" s="21" t="s">
        <v>81</v>
      </c>
      <c r="C102" s="21"/>
      <c r="D102" s="21"/>
      <c r="E102" s="21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</row>
    <row r="103" spans="1:30" x14ac:dyDescent="0.2">
      <c r="A103" s="7"/>
      <c r="B103" s="68" t="s">
        <v>82</v>
      </c>
      <c r="C103" s="68"/>
      <c r="D103" s="68"/>
      <c r="E103" s="68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</row>
    <row r="104" spans="1:30" x14ac:dyDescent="0.2">
      <c r="A104" s="7"/>
      <c r="B104" s="22" t="s">
        <v>83</v>
      </c>
      <c r="C104" s="22"/>
      <c r="D104" s="22"/>
      <c r="E104" s="22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</row>
    <row r="105" spans="1:30" x14ac:dyDescent="0.2">
      <c r="A105" s="7"/>
      <c r="B105" s="23" t="s">
        <v>84</v>
      </c>
      <c r="C105" s="23"/>
      <c r="D105" s="23"/>
      <c r="E105" s="23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</row>
    <row r="106" spans="1:30" x14ac:dyDescent="0.2">
      <c r="A106" s="7"/>
      <c r="B106" s="23" t="s">
        <v>85</v>
      </c>
      <c r="C106" s="23"/>
      <c r="D106" s="23"/>
      <c r="E106" s="23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</row>
    <row r="107" spans="1:30" x14ac:dyDescent="0.2">
      <c r="A107" s="7"/>
      <c r="B107" s="4" t="s">
        <v>5</v>
      </c>
      <c r="C107" s="4"/>
      <c r="D107" s="4"/>
      <c r="E107" s="4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</row>
    <row r="108" spans="1:30" x14ac:dyDescent="0.2">
      <c r="A108" s="7"/>
      <c r="B108" s="7"/>
      <c r="C108" s="7"/>
      <c r="D108" s="7"/>
      <c r="E108" s="7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</row>
    <row r="109" spans="1:30" x14ac:dyDescent="0.2">
      <c r="A109" s="7"/>
      <c r="B109" s="70">
        <f>F110-F111-F112</f>
        <v>0</v>
      </c>
      <c r="C109" s="70"/>
      <c r="D109" s="70"/>
      <c r="E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</row>
    <row r="110" spans="1:30" x14ac:dyDescent="0.2">
      <c r="A110" s="19" t="s">
        <v>149</v>
      </c>
      <c r="B110" s="18" t="s">
        <v>109</v>
      </c>
      <c r="C110" s="18"/>
      <c r="D110" s="18"/>
      <c r="E110" s="18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</row>
    <row r="111" spans="1:30" x14ac:dyDescent="0.2">
      <c r="A111" s="7"/>
      <c r="B111" s="67" t="s">
        <v>150</v>
      </c>
      <c r="C111" s="67"/>
      <c r="D111" s="67"/>
      <c r="E111" s="67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</row>
    <row r="112" spans="1:30" x14ac:dyDescent="0.2">
      <c r="A112" s="7"/>
      <c r="B112" s="67" t="s">
        <v>157</v>
      </c>
      <c r="C112" s="67"/>
      <c r="D112" s="67"/>
      <c r="E112" s="67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</row>
    <row r="113" spans="1:30" x14ac:dyDescent="0.2">
      <c r="A113" s="235">
        <v>0.6</v>
      </c>
      <c r="B113" s="68" t="s">
        <v>151</v>
      </c>
      <c r="C113" s="68"/>
      <c r="D113" s="68"/>
      <c r="E113" s="68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</row>
    <row r="114" spans="1:30" x14ac:dyDescent="0.2">
      <c r="A114" s="235">
        <v>0.4</v>
      </c>
      <c r="B114" s="68" t="s">
        <v>152</v>
      </c>
      <c r="C114" s="68"/>
      <c r="D114" s="68"/>
      <c r="E114" s="68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</row>
    <row r="115" spans="1:30" x14ac:dyDescent="0.2">
      <c r="A115" s="7"/>
      <c r="B115" s="68" t="s">
        <v>153</v>
      </c>
      <c r="C115" s="68"/>
      <c r="D115" s="68"/>
      <c r="E115" s="68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</row>
    <row r="116" spans="1:30" x14ac:dyDescent="0.2">
      <c r="A116" s="7"/>
      <c r="B116" s="68" t="s">
        <v>154</v>
      </c>
      <c r="C116" s="68"/>
      <c r="D116" s="68"/>
      <c r="E116" s="68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</row>
    <row r="117" spans="1:30" x14ac:dyDescent="0.2">
      <c r="A117" s="7"/>
      <c r="B117" s="4" t="s">
        <v>5</v>
      </c>
      <c r="C117" s="4"/>
      <c r="D117" s="4"/>
      <c r="E117" s="4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</row>
    <row r="118" spans="1:30" x14ac:dyDescent="0.2">
      <c r="A118" s="7"/>
      <c r="B118" s="4" t="s">
        <v>77</v>
      </c>
      <c r="C118" s="4"/>
      <c r="D118" s="4"/>
      <c r="E118" s="4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</row>
    <row r="119" spans="1:30" x14ac:dyDescent="0.2">
      <c r="A119" s="7"/>
      <c r="B119" s="70">
        <f>F120-H121-H122</f>
        <v>0</v>
      </c>
      <c r="C119" s="70"/>
      <c r="D119" s="70"/>
      <c r="E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</row>
    <row r="120" spans="1:30" x14ac:dyDescent="0.2">
      <c r="A120" s="19" t="s">
        <v>155</v>
      </c>
      <c r="B120" s="69" t="s">
        <v>156</v>
      </c>
      <c r="C120" s="69"/>
      <c r="D120" s="69"/>
      <c r="E120" s="69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</row>
    <row r="121" spans="1:30" x14ac:dyDescent="0.2">
      <c r="A121" s="7"/>
      <c r="B121" s="67" t="s">
        <v>150</v>
      </c>
      <c r="C121" s="67"/>
      <c r="D121" s="67"/>
      <c r="E121" s="67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</row>
    <row r="122" spans="1:30" x14ac:dyDescent="0.2">
      <c r="A122" s="7"/>
      <c r="B122" s="67" t="s">
        <v>157</v>
      </c>
      <c r="C122" s="67"/>
      <c r="D122" s="67"/>
      <c r="E122" s="67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</row>
    <row r="123" spans="1:30" x14ac:dyDescent="0.2">
      <c r="A123" s="235">
        <v>0.65</v>
      </c>
      <c r="B123" s="68" t="s">
        <v>151</v>
      </c>
      <c r="C123" s="68"/>
      <c r="D123" s="68"/>
      <c r="E123" s="68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</row>
    <row r="124" spans="1:30" x14ac:dyDescent="0.2">
      <c r="A124" s="235">
        <v>0.35</v>
      </c>
      <c r="B124" s="68" t="s">
        <v>152</v>
      </c>
      <c r="C124" s="68"/>
      <c r="D124" s="68"/>
      <c r="E124" s="68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</row>
    <row r="125" spans="1:30" x14ac:dyDescent="0.2">
      <c r="A125" s="7"/>
      <c r="B125" s="68" t="s">
        <v>153</v>
      </c>
      <c r="C125" s="68"/>
      <c r="D125" s="68"/>
      <c r="E125" s="68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</row>
    <row r="126" spans="1:30" x14ac:dyDescent="0.2">
      <c r="A126" s="7"/>
      <c r="B126" s="68" t="s">
        <v>154</v>
      </c>
      <c r="C126" s="68"/>
      <c r="D126" s="68"/>
      <c r="E126" s="68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</row>
    <row r="127" spans="1:30" x14ac:dyDescent="0.2">
      <c r="A127" s="7"/>
      <c r="B127" s="4" t="s">
        <v>5</v>
      </c>
      <c r="C127" s="4"/>
      <c r="D127" s="4"/>
      <c r="E127" s="4"/>
    </row>
    <row r="128" spans="1:30" x14ac:dyDescent="0.2">
      <c r="A128" s="7"/>
      <c r="B128" s="4" t="s">
        <v>77</v>
      </c>
      <c r="C128" s="4"/>
      <c r="D128" s="4"/>
      <c r="E128" s="4"/>
    </row>
  </sheetData>
  <mergeCells count="9">
    <mergeCell ref="U11:Y11"/>
    <mergeCell ref="Z11:AD11"/>
    <mergeCell ref="B2:F2"/>
    <mergeCell ref="A41:B41"/>
    <mergeCell ref="A50:B50"/>
    <mergeCell ref="F12:I12"/>
    <mergeCell ref="L11:N11"/>
    <mergeCell ref="J3:J5"/>
    <mergeCell ref="P11:T1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5"/>
  <sheetViews>
    <sheetView topLeftCell="A60" workbookViewId="0">
      <selection activeCell="O86" sqref="O86"/>
    </sheetView>
  </sheetViews>
  <sheetFormatPr baseColWidth="10" defaultColWidth="11.42578125" defaultRowHeight="12" x14ac:dyDescent="0.2"/>
  <cols>
    <col min="1" max="4" width="11.42578125" style="181"/>
    <col min="5" max="5" width="13.28515625" style="181" bestFit="1" customWidth="1"/>
    <col min="6" max="16384" width="11.42578125" style="181"/>
  </cols>
  <sheetData>
    <row r="1" spans="2:4" ht="12.75" thickBot="1" x14ac:dyDescent="0.25"/>
    <row r="2" spans="2:4" x14ac:dyDescent="0.2">
      <c r="B2" s="186" t="s">
        <v>301</v>
      </c>
    </row>
    <row r="3" spans="2:4" x14ac:dyDescent="0.2">
      <c r="B3" s="223"/>
    </row>
    <row r="4" spans="2:4" x14ac:dyDescent="0.2">
      <c r="B4" s="223"/>
      <c r="C4" s="206" t="s">
        <v>369</v>
      </c>
    </row>
    <row r="6" spans="2:4" x14ac:dyDescent="0.2">
      <c r="B6" s="183" t="s">
        <v>52</v>
      </c>
      <c r="D6" s="181" t="s">
        <v>302</v>
      </c>
    </row>
    <row r="7" spans="2:4" x14ac:dyDescent="0.2">
      <c r="B7" s="184" t="s">
        <v>53</v>
      </c>
      <c r="D7" s="181" t="s">
        <v>303</v>
      </c>
    </row>
    <row r="8" spans="2:4" x14ac:dyDescent="0.2">
      <c r="B8" s="184" t="s">
        <v>304</v>
      </c>
      <c r="D8" s="181" t="s">
        <v>305</v>
      </c>
    </row>
    <row r="9" spans="2:4" x14ac:dyDescent="0.2">
      <c r="B9" s="181" t="s">
        <v>368</v>
      </c>
      <c r="D9" s="181" t="s">
        <v>367</v>
      </c>
    </row>
    <row r="10" spans="2:4" x14ac:dyDescent="0.2">
      <c r="B10" s="181" t="s">
        <v>370</v>
      </c>
      <c r="D10" s="181" t="s">
        <v>375</v>
      </c>
    </row>
    <row r="12" spans="2:4" x14ac:dyDescent="0.2">
      <c r="B12" s="179" t="s">
        <v>178</v>
      </c>
      <c r="C12" s="203" t="s">
        <v>54</v>
      </c>
      <c r="D12" s="204"/>
    </row>
    <row r="13" spans="2:4" x14ac:dyDescent="0.2">
      <c r="B13" s="102"/>
      <c r="C13" s="185"/>
      <c r="D13" s="78"/>
    </row>
    <row r="14" spans="2:4" x14ac:dyDescent="0.2">
      <c r="B14" s="102" t="s">
        <v>316</v>
      </c>
      <c r="C14" s="185" t="s">
        <v>317</v>
      </c>
      <c r="D14" s="78"/>
    </row>
    <row r="15" spans="2:4" x14ac:dyDescent="0.2">
      <c r="B15" s="102"/>
      <c r="C15" s="185"/>
      <c r="D15" s="78"/>
    </row>
    <row r="17" spans="2:7" x14ac:dyDescent="0.2">
      <c r="C17" s="182" t="s">
        <v>309</v>
      </c>
      <c r="D17" s="873" t="s">
        <v>308</v>
      </c>
      <c r="E17" s="873"/>
      <c r="F17" s="182"/>
    </row>
    <row r="18" spans="2:7" x14ac:dyDescent="0.2">
      <c r="C18" s="182" t="s">
        <v>306</v>
      </c>
      <c r="D18" s="182" t="s">
        <v>307</v>
      </c>
      <c r="E18" s="182" t="s">
        <v>159</v>
      </c>
      <c r="F18" s="182" t="s">
        <v>310</v>
      </c>
      <c r="G18" s="208" t="s">
        <v>327</v>
      </c>
    </row>
    <row r="19" spans="2:7" x14ac:dyDescent="0.2">
      <c r="C19" s="182">
        <v>2012</v>
      </c>
      <c r="D19" s="188">
        <v>15333678</v>
      </c>
      <c r="E19" s="188">
        <v>23455895</v>
      </c>
      <c r="F19" s="188">
        <f>SUM(D19:E19)</f>
        <v>38789573</v>
      </c>
      <c r="G19" s="189">
        <f>F19/D25</f>
        <v>0.71832542592592596</v>
      </c>
    </row>
    <row r="20" spans="2:7" x14ac:dyDescent="0.2">
      <c r="C20" s="182">
        <v>2013</v>
      </c>
      <c r="D20" s="188">
        <v>18544623</v>
      </c>
      <c r="E20" s="188">
        <v>25677332</v>
      </c>
      <c r="F20" s="188">
        <f>SUM(D20:E20)</f>
        <v>44221955</v>
      </c>
      <c r="G20" s="189">
        <f>F20/D26</f>
        <v>0.77992865961199298</v>
      </c>
    </row>
    <row r="21" spans="2:7" x14ac:dyDescent="0.2">
      <c r="C21" s="182">
        <v>2014</v>
      </c>
      <c r="D21" s="188">
        <v>22667543</v>
      </c>
      <c r="E21" s="188">
        <v>18887411</v>
      </c>
      <c r="F21" s="188">
        <f>SUM(D21:E21)</f>
        <v>41554954</v>
      </c>
      <c r="G21" s="189">
        <f>F21/D27</f>
        <v>0.71852118131203102</v>
      </c>
    </row>
    <row r="23" spans="2:7" x14ac:dyDescent="0.2">
      <c r="D23" s="182" t="s">
        <v>311</v>
      </c>
      <c r="E23" s="182" t="s">
        <v>311</v>
      </c>
      <c r="F23" s="182" t="s">
        <v>310</v>
      </c>
    </row>
    <row r="24" spans="2:7" x14ac:dyDescent="0.2">
      <c r="C24" s="182" t="s">
        <v>309</v>
      </c>
      <c r="D24" s="182" t="s">
        <v>312</v>
      </c>
      <c r="E24" s="182" t="s">
        <v>313</v>
      </c>
      <c r="F24" s="182" t="s">
        <v>314</v>
      </c>
    </row>
    <row r="25" spans="2:7" x14ac:dyDescent="0.2">
      <c r="C25" s="182">
        <v>2012</v>
      </c>
      <c r="D25" s="188">
        <v>54000000</v>
      </c>
      <c r="E25" s="165" t="s">
        <v>315</v>
      </c>
      <c r="F25" s="165" t="s">
        <v>315</v>
      </c>
    </row>
    <row r="26" spans="2:7" x14ac:dyDescent="0.2">
      <c r="C26" s="182">
        <v>2013</v>
      </c>
      <c r="D26" s="188">
        <f>D25*1.05</f>
        <v>56700000</v>
      </c>
      <c r="E26" s="189">
        <f>(D26/D25)-1</f>
        <v>5.0000000000000044E-2</v>
      </c>
      <c r="F26" s="188">
        <f>D26-D25</f>
        <v>2700000</v>
      </c>
    </row>
    <row r="27" spans="2:7" x14ac:dyDescent="0.2">
      <c r="C27" s="182">
        <v>2014</v>
      </c>
      <c r="D27" s="188">
        <f>D26*1.02</f>
        <v>57834000</v>
      </c>
      <c r="E27" s="189">
        <f>(D27/D26)-1</f>
        <v>2.0000000000000018E-2</v>
      </c>
      <c r="F27" s="188">
        <f>D27-D26</f>
        <v>1134000</v>
      </c>
    </row>
    <row r="28" spans="2:7" x14ac:dyDescent="0.2">
      <c r="C28" s="187"/>
      <c r="D28" s="93"/>
      <c r="E28" s="198"/>
      <c r="F28" s="93"/>
    </row>
    <row r="29" spans="2:7" x14ac:dyDescent="0.2">
      <c r="B29" s="199"/>
      <c r="C29" s="200" t="s">
        <v>324</v>
      </c>
      <c r="D29" s="201"/>
      <c r="E29" s="202"/>
      <c r="F29" s="201"/>
      <c r="G29" s="160"/>
    </row>
    <row r="30" spans="2:7" x14ac:dyDescent="0.2">
      <c r="C30" s="161" t="s">
        <v>325</v>
      </c>
      <c r="D30" s="162"/>
      <c r="E30" s="162"/>
      <c r="F30" s="162"/>
      <c r="G30" s="163"/>
    </row>
    <row r="32" spans="2:7" x14ac:dyDescent="0.2">
      <c r="B32" s="190" t="s">
        <v>318</v>
      </c>
      <c r="C32" s="191" t="s">
        <v>320</v>
      </c>
    </row>
    <row r="33" spans="2:12" x14ac:dyDescent="0.2">
      <c r="B33" s="190"/>
      <c r="C33" s="872" t="s">
        <v>321</v>
      </c>
      <c r="D33" s="872"/>
      <c r="E33" s="872"/>
      <c r="F33" s="872"/>
    </row>
    <row r="34" spans="2:12" x14ac:dyDescent="0.2">
      <c r="B34" s="190"/>
      <c r="C34" s="192"/>
      <c r="D34" s="192"/>
      <c r="E34" s="192"/>
      <c r="F34" s="192"/>
    </row>
    <row r="35" spans="2:12" x14ac:dyDescent="0.2">
      <c r="B35" s="190"/>
      <c r="C35" s="192"/>
      <c r="D35" s="192"/>
      <c r="E35" s="192" t="s">
        <v>309</v>
      </c>
      <c r="F35" s="192"/>
    </row>
    <row r="36" spans="2:12" x14ac:dyDescent="0.2">
      <c r="D36" s="873" t="s">
        <v>322</v>
      </c>
      <c r="E36" s="873"/>
      <c r="F36" s="873"/>
    </row>
    <row r="37" spans="2:12" x14ac:dyDescent="0.2">
      <c r="C37" s="193" t="s">
        <v>296</v>
      </c>
      <c r="D37" s="194" t="s">
        <v>290</v>
      </c>
      <c r="E37" s="194" t="s">
        <v>159</v>
      </c>
      <c r="F37" s="194" t="s">
        <v>310</v>
      </c>
      <c r="G37" s="194" t="s">
        <v>319</v>
      </c>
      <c r="H37" s="195" t="s">
        <v>298</v>
      </c>
      <c r="I37" s="871" t="s">
        <v>373</v>
      </c>
      <c r="J37" s="871"/>
      <c r="K37" s="871" t="s">
        <v>374</v>
      </c>
      <c r="L37" s="871"/>
    </row>
    <row r="38" spans="2:12" x14ac:dyDescent="0.2">
      <c r="C38" s="196"/>
      <c r="D38" s="196"/>
      <c r="E38" s="196"/>
      <c r="F38" s="196"/>
      <c r="G38" s="196"/>
      <c r="H38" s="196"/>
      <c r="I38" s="196"/>
      <c r="J38" s="196"/>
      <c r="K38" s="196"/>
      <c r="L38" s="196"/>
    </row>
    <row r="39" spans="2:12" x14ac:dyDescent="0.2">
      <c r="C39" s="196"/>
      <c r="D39" s="196"/>
      <c r="E39" s="196"/>
      <c r="F39" s="196"/>
      <c r="G39" s="196"/>
      <c r="H39" s="196"/>
      <c r="I39" s="196"/>
      <c r="J39" s="196"/>
      <c r="K39" s="196"/>
      <c r="L39" s="196"/>
    </row>
    <row r="40" spans="2:12" x14ac:dyDescent="0.2">
      <c r="C40" s="196"/>
      <c r="D40" s="196"/>
      <c r="E40" s="196"/>
      <c r="F40" s="196"/>
      <c r="G40" s="196"/>
      <c r="H40" s="196"/>
      <c r="I40" s="196"/>
      <c r="J40" s="196"/>
      <c r="K40" s="196"/>
      <c r="L40" s="196"/>
    </row>
    <row r="41" spans="2:12" x14ac:dyDescent="0.2">
      <c r="C41" s="196"/>
      <c r="D41" s="196"/>
      <c r="E41" s="196"/>
      <c r="F41" s="196"/>
      <c r="G41" s="196"/>
      <c r="H41" s="196"/>
      <c r="I41" s="196"/>
      <c r="J41" s="196"/>
      <c r="K41" s="196"/>
      <c r="L41" s="196"/>
    </row>
    <row r="42" spans="2:12" x14ac:dyDescent="0.2">
      <c r="C42" s="196"/>
      <c r="D42" s="196"/>
      <c r="E42" s="196"/>
      <c r="F42" s="196"/>
      <c r="G42" s="196"/>
      <c r="H42" s="196"/>
      <c r="I42" s="196"/>
      <c r="J42" s="196"/>
      <c r="K42" s="196"/>
      <c r="L42" s="196"/>
    </row>
    <row r="43" spans="2:12" x14ac:dyDescent="0.2">
      <c r="C43" s="196"/>
      <c r="D43" s="196"/>
      <c r="E43" s="196"/>
      <c r="F43" s="196"/>
      <c r="G43" s="196"/>
      <c r="H43" s="196"/>
      <c r="I43" s="196"/>
      <c r="J43" s="196"/>
      <c r="K43" s="196"/>
      <c r="L43" s="196"/>
    </row>
    <row r="44" spans="2:12" x14ac:dyDescent="0.2">
      <c r="C44" s="196"/>
      <c r="D44" s="196"/>
      <c r="E44" s="196"/>
      <c r="F44" s="196"/>
      <c r="G44" s="196"/>
      <c r="H44" s="196"/>
      <c r="I44" s="196"/>
      <c r="J44" s="196"/>
      <c r="K44" s="196"/>
      <c r="L44" s="196"/>
    </row>
    <row r="45" spans="2:12" x14ac:dyDescent="0.2">
      <c r="C45" s="196"/>
      <c r="D45" s="196"/>
      <c r="E45" s="196"/>
      <c r="F45" s="196"/>
      <c r="G45" s="196"/>
      <c r="H45" s="196"/>
      <c r="I45" s="196"/>
      <c r="J45" s="196"/>
      <c r="K45" s="196"/>
      <c r="L45" s="196"/>
    </row>
    <row r="47" spans="2:12" x14ac:dyDescent="0.2">
      <c r="B47" s="190" t="s">
        <v>365</v>
      </c>
      <c r="C47" s="191" t="s">
        <v>323</v>
      </c>
    </row>
    <row r="49" spans="2:8" x14ac:dyDescent="0.2">
      <c r="C49" s="873" t="s">
        <v>92</v>
      </c>
      <c r="D49" s="873"/>
      <c r="E49" s="873"/>
      <c r="F49" s="873" t="s">
        <v>328</v>
      </c>
      <c r="G49" s="873"/>
      <c r="H49" s="873"/>
    </row>
    <row r="50" spans="2:8" x14ac:dyDescent="0.2">
      <c r="C50" s="208" t="s">
        <v>297</v>
      </c>
      <c r="D50" s="208" t="s">
        <v>326</v>
      </c>
      <c r="E50" s="208" t="s">
        <v>327</v>
      </c>
      <c r="F50" s="187" t="s">
        <v>297</v>
      </c>
      <c r="G50" s="187" t="s">
        <v>326</v>
      </c>
      <c r="H50" s="187" t="s">
        <v>327</v>
      </c>
    </row>
    <row r="51" spans="2:8" x14ac:dyDescent="0.2">
      <c r="C51" s="197" t="s">
        <v>201</v>
      </c>
      <c r="D51" s="196"/>
      <c r="E51" s="196"/>
      <c r="F51" s="197" t="s">
        <v>175</v>
      </c>
      <c r="G51" s="196"/>
      <c r="H51" s="196"/>
    </row>
    <row r="52" spans="2:8" x14ac:dyDescent="0.2">
      <c r="C52" s="197" t="s">
        <v>200</v>
      </c>
      <c r="D52" s="196"/>
      <c r="E52" s="196"/>
      <c r="F52" s="197" t="s">
        <v>210</v>
      </c>
      <c r="G52" s="196"/>
      <c r="H52" s="196"/>
    </row>
    <row r="53" spans="2:8" x14ac:dyDescent="0.2">
      <c r="C53" s="197" t="s">
        <v>329</v>
      </c>
      <c r="D53" s="196"/>
      <c r="E53" s="196"/>
      <c r="F53" s="197" t="s">
        <v>330</v>
      </c>
      <c r="G53" s="196"/>
      <c r="H53" s="196"/>
    </row>
    <row r="54" spans="2:8" x14ac:dyDescent="0.2">
      <c r="C54" s="197" t="s">
        <v>334</v>
      </c>
      <c r="D54" s="196"/>
      <c r="E54" s="196"/>
      <c r="F54" s="197" t="s">
        <v>331</v>
      </c>
      <c r="G54" s="196"/>
      <c r="H54" s="196"/>
    </row>
    <row r="55" spans="2:8" x14ac:dyDescent="0.2">
      <c r="F55" s="197" t="s">
        <v>332</v>
      </c>
      <c r="G55" s="196"/>
      <c r="H55" s="196"/>
    </row>
    <row r="56" spans="2:8" x14ac:dyDescent="0.2">
      <c r="F56" s="197" t="s">
        <v>333</v>
      </c>
      <c r="G56" s="196"/>
      <c r="H56" s="196"/>
    </row>
    <row r="57" spans="2:8" x14ac:dyDescent="0.2">
      <c r="F57" s="197" t="s">
        <v>213</v>
      </c>
      <c r="G57" s="196"/>
      <c r="H57" s="196"/>
    </row>
    <row r="58" spans="2:8" x14ac:dyDescent="0.2">
      <c r="F58" s="197" t="s">
        <v>181</v>
      </c>
      <c r="G58" s="196"/>
      <c r="H58" s="196"/>
    </row>
    <row r="59" spans="2:8" x14ac:dyDescent="0.2">
      <c r="F59" s="197" t="s">
        <v>334</v>
      </c>
      <c r="G59" s="196"/>
      <c r="H59" s="196"/>
    </row>
    <row r="61" spans="2:8" x14ac:dyDescent="0.2">
      <c r="B61" s="190" t="s">
        <v>366</v>
      </c>
      <c r="C61" s="191" t="s">
        <v>335</v>
      </c>
    </row>
    <row r="62" spans="2:8" x14ac:dyDescent="0.2">
      <c r="B62" s="190"/>
      <c r="C62" s="191"/>
    </row>
    <row r="63" spans="2:8" x14ac:dyDescent="0.2">
      <c r="D63" s="208" t="s">
        <v>310</v>
      </c>
    </row>
    <row r="64" spans="2:8" x14ac:dyDescent="0.2">
      <c r="C64" s="181" t="s">
        <v>57</v>
      </c>
      <c r="D64" s="208" t="s">
        <v>372</v>
      </c>
      <c r="E64" s="208"/>
      <c r="F64" s="207"/>
      <c r="H64" s="207"/>
    </row>
    <row r="65" spans="2:8" x14ac:dyDescent="0.2">
      <c r="C65" s="181" t="s">
        <v>185</v>
      </c>
      <c r="D65" s="196"/>
      <c r="E65" s="197"/>
      <c r="F65" s="78"/>
      <c r="H65" s="78"/>
    </row>
    <row r="66" spans="2:8" x14ac:dyDescent="0.2">
      <c r="C66" s="181" t="s">
        <v>336</v>
      </c>
      <c r="D66" s="196"/>
      <c r="E66" s="197"/>
      <c r="F66" s="78"/>
      <c r="H66" s="78"/>
    </row>
    <row r="67" spans="2:8" x14ac:dyDescent="0.2">
      <c r="C67" s="181" t="s">
        <v>337</v>
      </c>
      <c r="D67" s="196"/>
      <c r="E67" s="197"/>
      <c r="F67" s="78"/>
      <c r="H67" s="78"/>
    </row>
    <row r="68" spans="2:8" x14ac:dyDescent="0.2">
      <c r="C68" s="181" t="s">
        <v>338</v>
      </c>
      <c r="D68" s="196"/>
      <c r="E68" s="197"/>
      <c r="F68" s="78"/>
      <c r="H68" s="78"/>
    </row>
    <row r="69" spans="2:8" x14ac:dyDescent="0.2">
      <c r="C69" s="181" t="s">
        <v>184</v>
      </c>
      <c r="D69" s="196"/>
      <c r="E69" s="197"/>
      <c r="F69" s="78"/>
      <c r="H69" s="78"/>
    </row>
    <row r="70" spans="2:8" x14ac:dyDescent="0.2">
      <c r="C70" s="181" t="s">
        <v>339</v>
      </c>
      <c r="D70" s="196"/>
      <c r="E70" s="197"/>
      <c r="F70" s="78"/>
      <c r="H70" s="78"/>
    </row>
    <row r="71" spans="2:8" x14ac:dyDescent="0.2">
      <c r="C71" s="181" t="s">
        <v>371</v>
      </c>
      <c r="D71" s="196"/>
    </row>
    <row r="74" spans="2:8" x14ac:dyDescent="0.2">
      <c r="B74" s="205" t="s">
        <v>363</v>
      </c>
      <c r="C74" s="206" t="s">
        <v>340</v>
      </c>
      <c r="D74" s="206"/>
    </row>
    <row r="75" spans="2:8" x14ac:dyDescent="0.2">
      <c r="B75" s="205"/>
      <c r="C75" s="206"/>
      <c r="D75" s="206"/>
    </row>
    <row r="76" spans="2:8" x14ac:dyDescent="0.2">
      <c r="C76" s="181" t="s">
        <v>341</v>
      </c>
    </row>
    <row r="77" spans="2:8" x14ac:dyDescent="0.2">
      <c r="C77" s="181" t="s">
        <v>342</v>
      </c>
    </row>
    <row r="78" spans="2:8" x14ac:dyDescent="0.2">
      <c r="C78" s="181" t="s">
        <v>343</v>
      </c>
    </row>
    <row r="79" spans="2:8" x14ac:dyDescent="0.2">
      <c r="C79" s="181" t="s">
        <v>344</v>
      </c>
    </row>
    <row r="81" spans="3:6" x14ac:dyDescent="0.2">
      <c r="C81" s="208"/>
      <c r="D81" s="872" t="s">
        <v>309</v>
      </c>
      <c r="E81" s="872"/>
      <c r="F81" s="208"/>
    </row>
    <row r="82" spans="3:6" x14ac:dyDescent="0.2">
      <c r="C82" s="208"/>
      <c r="D82" s="208" t="s">
        <v>358</v>
      </c>
      <c r="E82" s="208" t="s">
        <v>360</v>
      </c>
      <c r="F82" s="208"/>
    </row>
    <row r="83" spans="3:6" x14ac:dyDescent="0.2">
      <c r="C83" s="197" t="s">
        <v>357</v>
      </c>
      <c r="D83" s="208" t="s">
        <v>359</v>
      </c>
      <c r="E83" s="208" t="s">
        <v>361</v>
      </c>
      <c r="F83" s="208" t="s">
        <v>362</v>
      </c>
    </row>
    <row r="84" spans="3:6" x14ac:dyDescent="0.2">
      <c r="C84" s="197" t="s">
        <v>345</v>
      </c>
      <c r="D84" s="196"/>
      <c r="E84" s="196"/>
      <c r="F84" s="196"/>
    </row>
    <row r="85" spans="3:6" x14ac:dyDescent="0.2">
      <c r="C85" s="197" t="s">
        <v>346</v>
      </c>
      <c r="D85" s="196"/>
      <c r="E85" s="196"/>
      <c r="F85" s="196"/>
    </row>
    <row r="86" spans="3:6" x14ac:dyDescent="0.2">
      <c r="C86" s="197" t="s">
        <v>347</v>
      </c>
      <c r="D86" s="196"/>
      <c r="E86" s="196"/>
      <c r="F86" s="196"/>
    </row>
    <row r="87" spans="3:6" x14ac:dyDescent="0.2">
      <c r="C87" s="197" t="s">
        <v>348</v>
      </c>
      <c r="D87" s="196"/>
      <c r="E87" s="196"/>
      <c r="F87" s="196"/>
    </row>
    <row r="88" spans="3:6" x14ac:dyDescent="0.2">
      <c r="C88" s="197" t="s">
        <v>349</v>
      </c>
      <c r="D88" s="196"/>
      <c r="E88" s="196"/>
      <c r="F88" s="196"/>
    </row>
    <row r="89" spans="3:6" x14ac:dyDescent="0.2">
      <c r="C89" s="197" t="s">
        <v>350</v>
      </c>
      <c r="D89" s="196"/>
      <c r="E89" s="196"/>
      <c r="F89" s="196"/>
    </row>
    <row r="90" spans="3:6" x14ac:dyDescent="0.2">
      <c r="C90" s="197" t="s">
        <v>351</v>
      </c>
      <c r="D90" s="196"/>
      <c r="E90" s="196"/>
      <c r="F90" s="196"/>
    </row>
    <row r="91" spans="3:6" x14ac:dyDescent="0.2">
      <c r="C91" s="197" t="s">
        <v>352</v>
      </c>
      <c r="D91" s="196"/>
      <c r="E91" s="196"/>
      <c r="F91" s="196"/>
    </row>
    <row r="92" spans="3:6" x14ac:dyDescent="0.2">
      <c r="C92" s="197" t="s">
        <v>353</v>
      </c>
      <c r="D92" s="196"/>
      <c r="E92" s="196"/>
      <c r="F92" s="196"/>
    </row>
    <row r="93" spans="3:6" x14ac:dyDescent="0.2">
      <c r="C93" s="197" t="s">
        <v>354</v>
      </c>
      <c r="D93" s="196"/>
      <c r="E93" s="196"/>
      <c r="F93" s="196"/>
    </row>
    <row r="94" spans="3:6" x14ac:dyDescent="0.2">
      <c r="C94" s="197" t="s">
        <v>355</v>
      </c>
      <c r="D94" s="196"/>
      <c r="E94" s="196"/>
      <c r="F94" s="196"/>
    </row>
    <row r="95" spans="3:6" x14ac:dyDescent="0.2">
      <c r="C95" s="197" t="s">
        <v>356</v>
      </c>
      <c r="D95" s="196"/>
      <c r="E95" s="196"/>
      <c r="F95" s="196"/>
    </row>
  </sheetData>
  <mergeCells count="8">
    <mergeCell ref="I37:J37"/>
    <mergeCell ref="K37:L37"/>
    <mergeCell ref="D81:E81"/>
    <mergeCell ref="D17:E17"/>
    <mergeCell ref="C33:F33"/>
    <mergeCell ref="D36:F36"/>
    <mergeCell ref="C49:E49"/>
    <mergeCell ref="F49:H49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workbookViewId="0">
      <selection activeCell="J18" sqref="J18"/>
    </sheetView>
  </sheetViews>
  <sheetFormatPr baseColWidth="10" defaultRowHeight="12.75" x14ac:dyDescent="0.2"/>
  <cols>
    <col min="2" max="2" width="36.28515625" bestFit="1" customWidth="1"/>
    <col min="3" max="3" width="23.7109375" bestFit="1" customWidth="1"/>
    <col min="5" max="5" width="10.7109375" style="126"/>
  </cols>
  <sheetData>
    <row r="1" spans="1:7" x14ac:dyDescent="0.2">
      <c r="A1" s="225"/>
      <c r="B1" s="269" t="s">
        <v>417</v>
      </c>
    </row>
    <row r="2" spans="1:7" x14ac:dyDescent="0.2">
      <c r="A2" s="225"/>
      <c r="B2" s="269"/>
      <c r="F2" s="861" t="s">
        <v>496</v>
      </c>
      <c r="G2" s="861"/>
    </row>
    <row r="3" spans="1:7" x14ac:dyDescent="0.2">
      <c r="A3" s="225"/>
      <c r="B3" s="269"/>
      <c r="F3" s="861" t="s">
        <v>495</v>
      </c>
      <c r="G3" s="861"/>
    </row>
    <row r="4" spans="1:7" x14ac:dyDescent="0.2">
      <c r="A4" s="225"/>
      <c r="B4" s="269"/>
      <c r="F4" s="562" t="s">
        <v>57</v>
      </c>
      <c r="G4" s="562" t="s">
        <v>371</v>
      </c>
    </row>
    <row r="5" spans="1:7" x14ac:dyDescent="0.2">
      <c r="B5" s="268" t="s">
        <v>418</v>
      </c>
      <c r="C5" s="259" t="s">
        <v>407</v>
      </c>
      <c r="D5" s="259" t="s">
        <v>408</v>
      </c>
      <c r="E5" s="260" t="s">
        <v>409</v>
      </c>
    </row>
    <row r="6" spans="1:7" x14ac:dyDescent="0.2">
      <c r="B6" s="110"/>
      <c r="C6" s="263" t="s">
        <v>1</v>
      </c>
      <c r="D6" s="266">
        <v>0.22</v>
      </c>
      <c r="E6" s="265">
        <v>11922459</v>
      </c>
    </row>
    <row r="7" spans="1:7" ht="13.5" thickBot="1" x14ac:dyDescent="0.25">
      <c r="B7" s="110"/>
      <c r="C7" s="263" t="s">
        <v>4</v>
      </c>
      <c r="D7" s="178"/>
      <c r="E7" s="260"/>
    </row>
    <row r="8" spans="1:7" ht="13.5" thickBot="1" x14ac:dyDescent="0.25">
      <c r="B8" s="110"/>
      <c r="C8" s="111"/>
      <c r="D8" s="178"/>
      <c r="E8" s="260"/>
      <c r="F8" s="564">
        <v>14962</v>
      </c>
      <c r="G8" s="565">
        <v>2987</v>
      </c>
    </row>
    <row r="9" spans="1:7" x14ac:dyDescent="0.2">
      <c r="B9" s="110"/>
      <c r="C9" s="264" t="s">
        <v>6</v>
      </c>
      <c r="D9" s="178"/>
      <c r="E9" s="260"/>
    </row>
    <row r="10" spans="1:7" x14ac:dyDescent="0.2">
      <c r="B10" s="110"/>
      <c r="C10" s="263" t="s">
        <v>7</v>
      </c>
      <c r="D10" s="259"/>
      <c r="E10" s="260"/>
    </row>
    <row r="11" spans="1:7" ht="15" x14ac:dyDescent="0.25">
      <c r="B11" s="110"/>
      <c r="C11" s="263" t="s">
        <v>8</v>
      </c>
      <c r="D11" s="259"/>
      <c r="E11" s="260"/>
      <c r="G11" s="271"/>
    </row>
    <row r="12" spans="1:7" x14ac:dyDescent="0.2">
      <c r="B12" s="110"/>
      <c r="C12" s="263" t="s">
        <v>9</v>
      </c>
      <c r="D12" s="259"/>
      <c r="E12" s="260"/>
    </row>
    <row r="13" spans="1:7" x14ac:dyDescent="0.2">
      <c r="B13" s="110"/>
      <c r="C13" s="263" t="s">
        <v>10</v>
      </c>
      <c r="D13" s="267"/>
      <c r="E13" s="260"/>
    </row>
    <row r="14" spans="1:7" x14ac:dyDescent="0.2">
      <c r="B14" s="110"/>
      <c r="C14" s="263" t="s">
        <v>11</v>
      </c>
      <c r="D14" s="259"/>
      <c r="E14" s="260"/>
    </row>
    <row r="15" spans="1:7" x14ac:dyDescent="0.2">
      <c r="B15" s="110"/>
      <c r="C15" s="263" t="s">
        <v>12</v>
      </c>
      <c r="D15" s="259"/>
      <c r="E15" s="260"/>
    </row>
    <row r="16" spans="1:7" x14ac:dyDescent="0.2">
      <c r="B16" s="110"/>
      <c r="C16" s="263" t="s">
        <v>13</v>
      </c>
      <c r="D16" s="266">
        <v>0.39</v>
      </c>
      <c r="E16" s="265">
        <v>20653141</v>
      </c>
    </row>
    <row r="17" spans="2:14" x14ac:dyDescent="0.2">
      <c r="B17" s="110"/>
      <c r="C17" s="112"/>
      <c r="D17" s="259"/>
      <c r="E17" s="260"/>
      <c r="F17" s="224"/>
      <c r="G17" s="224"/>
      <c r="H17" s="224"/>
      <c r="I17" s="224"/>
      <c r="J17" s="224"/>
      <c r="K17" s="224"/>
      <c r="L17" s="224"/>
      <c r="M17" s="224"/>
      <c r="N17" s="224"/>
    </row>
    <row r="18" spans="2:14" x14ac:dyDescent="0.2">
      <c r="B18" s="110"/>
      <c r="C18" s="261" t="s">
        <v>14</v>
      </c>
      <c r="D18" s="259"/>
      <c r="E18" s="260"/>
      <c r="F18" s="226"/>
      <c r="G18" s="226"/>
      <c r="H18" s="226"/>
      <c r="I18" s="226"/>
      <c r="J18" s="226"/>
      <c r="K18" s="226"/>
      <c r="L18" s="226"/>
      <c r="M18" s="226"/>
      <c r="N18" s="226"/>
    </row>
    <row r="19" spans="2:14" x14ac:dyDescent="0.2">
      <c r="B19" s="110"/>
      <c r="C19" s="263" t="s">
        <v>15</v>
      </c>
      <c r="D19" s="259"/>
      <c r="E19" s="260"/>
      <c r="F19" s="226"/>
      <c r="G19" s="226"/>
      <c r="H19" s="226"/>
      <c r="I19" s="226"/>
      <c r="J19" s="226"/>
      <c r="K19" s="226"/>
      <c r="L19" s="226"/>
      <c r="M19" s="226"/>
      <c r="N19" s="226"/>
    </row>
    <row r="20" spans="2:14" x14ac:dyDescent="0.2">
      <c r="B20" s="110"/>
      <c r="C20" s="263" t="s">
        <v>16</v>
      </c>
      <c r="D20" s="259"/>
      <c r="E20" s="260"/>
      <c r="F20" s="226"/>
      <c r="G20" s="226"/>
      <c r="H20" s="226"/>
      <c r="I20" s="226"/>
      <c r="J20" s="226"/>
      <c r="K20" s="226"/>
      <c r="L20" s="226"/>
      <c r="M20" s="226"/>
      <c r="N20" s="226"/>
    </row>
    <row r="21" spans="2:14" x14ac:dyDescent="0.2">
      <c r="B21" s="110"/>
      <c r="C21" s="263" t="s">
        <v>17</v>
      </c>
      <c r="D21" s="259"/>
      <c r="E21" s="260"/>
      <c r="F21" s="226"/>
      <c r="G21" s="226"/>
      <c r="H21" s="226"/>
      <c r="I21" s="226"/>
      <c r="J21" s="226"/>
      <c r="K21" s="226"/>
      <c r="L21" s="226"/>
      <c r="M21" s="226"/>
      <c r="N21" s="226"/>
    </row>
    <row r="22" spans="2:14" x14ac:dyDescent="0.2">
      <c r="B22" s="110"/>
      <c r="C22" s="263" t="s">
        <v>18</v>
      </c>
      <c r="D22" s="259"/>
      <c r="E22" s="260"/>
      <c r="F22" s="226"/>
      <c r="G22" s="226"/>
      <c r="H22" s="226"/>
      <c r="I22" s="226"/>
      <c r="J22" s="226"/>
      <c r="K22" s="226"/>
      <c r="L22" s="226"/>
      <c r="M22" s="226"/>
      <c r="N22" s="226"/>
    </row>
    <row r="23" spans="2:14" ht="13.5" thickBot="1" x14ac:dyDescent="0.25">
      <c r="B23" s="110"/>
      <c r="C23" s="263" t="s">
        <v>19</v>
      </c>
      <c r="D23" s="259"/>
      <c r="E23" s="260"/>
      <c r="F23" s="226"/>
      <c r="G23" s="226"/>
      <c r="H23" s="226"/>
      <c r="I23" s="226"/>
      <c r="J23" s="226"/>
      <c r="K23" s="226"/>
      <c r="L23" s="226"/>
      <c r="M23" s="226"/>
      <c r="N23" s="226"/>
    </row>
    <row r="24" spans="2:14" ht="13.5" thickBot="1" x14ac:dyDescent="0.25">
      <c r="B24" s="110"/>
      <c r="C24" s="263"/>
      <c r="D24" s="259"/>
      <c r="E24" s="260"/>
      <c r="F24" s="564">
        <f>80000-26148-F8</f>
        <v>38890</v>
      </c>
      <c r="G24" s="565">
        <f>34000-10300-G8</f>
        <v>20713</v>
      </c>
      <c r="H24" s="226"/>
      <c r="I24" s="226"/>
      <c r="J24" s="226"/>
      <c r="K24" s="226"/>
      <c r="L24" s="226"/>
      <c r="M24" s="226"/>
      <c r="N24" s="226"/>
    </row>
    <row r="25" spans="2:14" x14ac:dyDescent="0.2">
      <c r="B25" s="114"/>
      <c r="C25" s="262" t="s">
        <v>39</v>
      </c>
      <c r="D25" s="259"/>
      <c r="E25" s="260"/>
    </row>
    <row r="26" spans="2:14" x14ac:dyDescent="0.2">
      <c r="B26" s="114"/>
      <c r="C26" s="110" t="s">
        <v>110</v>
      </c>
      <c r="D26" s="259"/>
      <c r="E26" s="260"/>
    </row>
    <row r="27" spans="2:14" x14ac:dyDescent="0.2">
      <c r="B27" s="114"/>
      <c r="C27" s="110" t="s">
        <v>378</v>
      </c>
      <c r="D27" s="259"/>
      <c r="E27" s="260"/>
    </row>
    <row r="28" spans="2:14" x14ac:dyDescent="0.2">
      <c r="B28" s="114"/>
      <c r="C28" s="110" t="s">
        <v>379</v>
      </c>
      <c r="D28" s="266">
        <v>0.01</v>
      </c>
      <c r="E28" s="265">
        <v>355080</v>
      </c>
    </row>
    <row r="29" spans="2:14" x14ac:dyDescent="0.2">
      <c r="B29" s="114"/>
      <c r="C29" s="110" t="s">
        <v>380</v>
      </c>
      <c r="D29" s="259"/>
      <c r="E29" s="260"/>
    </row>
    <row r="30" spans="2:14" x14ac:dyDescent="0.2">
      <c r="B30" s="110"/>
      <c r="C30" s="263" t="s">
        <v>406</v>
      </c>
      <c r="D30" s="259"/>
      <c r="E30" s="260"/>
    </row>
    <row r="31" spans="2:14" x14ac:dyDescent="0.2">
      <c r="B31" s="110"/>
      <c r="D31" s="259"/>
      <c r="E31" s="260"/>
    </row>
    <row r="32" spans="2:14" x14ac:dyDescent="0.2">
      <c r="B32" s="110"/>
      <c r="C32" s="111" t="s">
        <v>411</v>
      </c>
      <c r="D32" s="253">
        <v>0.23</v>
      </c>
      <c r="E32" s="265">
        <v>12157242</v>
      </c>
    </row>
    <row r="33" spans="2:5" x14ac:dyDescent="0.2">
      <c r="B33" s="860" t="s">
        <v>410</v>
      </c>
      <c r="C33" s="860"/>
      <c r="D33" s="253">
        <v>0.03</v>
      </c>
      <c r="E33" s="265">
        <v>1785291</v>
      </c>
    </row>
    <row r="34" spans="2:5" x14ac:dyDescent="0.2">
      <c r="B34" s="110"/>
      <c r="C34" s="111" t="s">
        <v>412</v>
      </c>
      <c r="D34" s="253">
        <v>0.08</v>
      </c>
      <c r="E34" s="265">
        <v>4501571</v>
      </c>
    </row>
    <row r="35" spans="2:5" x14ac:dyDescent="0.2">
      <c r="B35" s="110"/>
      <c r="C35" s="111" t="s">
        <v>413</v>
      </c>
      <c r="D35" s="253">
        <v>0.01</v>
      </c>
      <c r="E35" s="265">
        <v>609689</v>
      </c>
    </row>
    <row r="36" spans="2:5" x14ac:dyDescent="0.2">
      <c r="B36" s="110"/>
      <c r="C36" s="111" t="s">
        <v>24</v>
      </c>
      <c r="D36" s="253">
        <v>0.01</v>
      </c>
      <c r="E36" s="265">
        <v>574160</v>
      </c>
    </row>
    <row r="37" spans="2:5" x14ac:dyDescent="0.2">
      <c r="B37" s="110"/>
      <c r="C37" s="111" t="s">
        <v>414</v>
      </c>
      <c r="D37" s="253">
        <v>0</v>
      </c>
      <c r="E37" s="265">
        <v>19790</v>
      </c>
    </row>
    <row r="38" spans="2:5" x14ac:dyDescent="0.2">
      <c r="B38" s="110"/>
      <c r="C38" s="111" t="s">
        <v>415</v>
      </c>
      <c r="D38" s="253">
        <v>0</v>
      </c>
      <c r="E38" s="265">
        <v>25540</v>
      </c>
    </row>
    <row r="39" spans="2:5" x14ac:dyDescent="0.2">
      <c r="B39" s="110"/>
      <c r="C39" s="111" t="s">
        <v>416</v>
      </c>
      <c r="D39" s="253">
        <v>0</v>
      </c>
      <c r="E39" s="260">
        <v>29</v>
      </c>
    </row>
    <row r="40" spans="2:5" x14ac:dyDescent="0.2">
      <c r="B40" s="110"/>
      <c r="C40" s="111"/>
      <c r="E40" s="260"/>
    </row>
    <row r="41" spans="2:5" x14ac:dyDescent="0.2">
      <c r="B41" s="110"/>
      <c r="C41" s="111"/>
      <c r="E41" s="260"/>
    </row>
    <row r="42" spans="2:5" x14ac:dyDescent="0.2">
      <c r="B42" s="860"/>
      <c r="C42" s="860"/>
    </row>
    <row r="43" spans="2:5" x14ac:dyDescent="0.2">
      <c r="B43" s="110"/>
      <c r="C43" s="111"/>
    </row>
    <row r="44" spans="2:5" x14ac:dyDescent="0.2">
      <c r="B44" s="110"/>
      <c r="C44" s="111"/>
    </row>
    <row r="45" spans="2:5" x14ac:dyDescent="0.2">
      <c r="B45" s="110"/>
      <c r="C45" s="112"/>
    </row>
    <row r="46" spans="2:5" x14ac:dyDescent="0.2">
      <c r="B46" s="110"/>
      <c r="C46" s="111"/>
    </row>
    <row r="47" spans="2:5" x14ac:dyDescent="0.2">
      <c r="B47" s="110"/>
      <c r="C47" s="111"/>
    </row>
    <row r="48" spans="2:5" x14ac:dyDescent="0.2">
      <c r="B48" s="110"/>
      <c r="C48" s="111"/>
    </row>
    <row r="49" spans="2:3" x14ac:dyDescent="0.2">
      <c r="B49" s="110"/>
      <c r="C49" s="111"/>
    </row>
    <row r="50" spans="2:3" x14ac:dyDescent="0.2">
      <c r="B50" s="110"/>
      <c r="C50" s="111"/>
    </row>
    <row r="51" spans="2:3" x14ac:dyDescent="0.2">
      <c r="B51" s="110"/>
      <c r="C51" s="111"/>
    </row>
    <row r="52" spans="2:3" x14ac:dyDescent="0.2">
      <c r="B52" s="110"/>
      <c r="C52" s="111"/>
    </row>
    <row r="53" spans="2:3" x14ac:dyDescent="0.2">
      <c r="B53" s="110"/>
      <c r="C53" s="111"/>
    </row>
    <row r="54" spans="2:3" x14ac:dyDescent="0.2">
      <c r="B54" s="110"/>
      <c r="C54" s="111"/>
    </row>
    <row r="55" spans="2:3" x14ac:dyDescent="0.2">
      <c r="B55" s="110"/>
      <c r="C55" s="112"/>
    </row>
    <row r="56" spans="2:3" x14ac:dyDescent="0.2">
      <c r="B56" s="110"/>
      <c r="C56" s="112"/>
    </row>
    <row r="57" spans="2:3" x14ac:dyDescent="0.2">
      <c r="B57" s="110"/>
      <c r="C57" s="112"/>
    </row>
    <row r="58" spans="2:3" x14ac:dyDescent="0.2">
      <c r="B58" s="110"/>
      <c r="C58" s="110"/>
    </row>
    <row r="59" spans="2:3" x14ac:dyDescent="0.2">
      <c r="B59" s="110"/>
      <c r="C59" s="112" t="s">
        <v>62</v>
      </c>
    </row>
    <row r="60" spans="2:3" x14ac:dyDescent="0.2">
      <c r="B60" s="110"/>
      <c r="C60" s="111" t="s">
        <v>20</v>
      </c>
    </row>
    <row r="61" spans="2:3" x14ac:dyDescent="0.2">
      <c r="B61" s="110"/>
      <c r="C61" s="111" t="s">
        <v>40</v>
      </c>
    </row>
    <row r="62" spans="2:3" x14ac:dyDescent="0.2">
      <c r="B62" s="110"/>
      <c r="C62" s="111" t="s">
        <v>41</v>
      </c>
    </row>
    <row r="63" spans="2:3" x14ac:dyDescent="0.2">
      <c r="B63" s="110"/>
      <c r="C63" s="111" t="s">
        <v>24</v>
      </c>
    </row>
    <row r="64" spans="2:3" x14ac:dyDescent="0.2">
      <c r="B64" s="110"/>
      <c r="C64" s="111" t="s">
        <v>25</v>
      </c>
    </row>
    <row r="65" spans="2:3" x14ac:dyDescent="0.2">
      <c r="B65" s="110"/>
      <c r="C65" s="111" t="s">
        <v>42</v>
      </c>
    </row>
    <row r="66" spans="2:3" x14ac:dyDescent="0.2">
      <c r="B66" s="110"/>
      <c r="C66" s="112"/>
    </row>
    <row r="67" spans="2:3" x14ac:dyDescent="0.2">
      <c r="B67" s="110"/>
      <c r="C67" s="112" t="s">
        <v>63</v>
      </c>
    </row>
    <row r="68" spans="2:3" x14ac:dyDescent="0.2">
      <c r="B68" s="110"/>
      <c r="C68" s="111" t="s">
        <v>30</v>
      </c>
    </row>
    <row r="69" spans="2:3" x14ac:dyDescent="0.2">
      <c r="B69" s="110"/>
      <c r="C69" s="111" t="s">
        <v>43</v>
      </c>
    </row>
    <row r="70" spans="2:3" x14ac:dyDescent="0.2">
      <c r="B70" s="110"/>
      <c r="C70" s="111" t="s">
        <v>44</v>
      </c>
    </row>
    <row r="71" spans="2:3" x14ac:dyDescent="0.2">
      <c r="B71" s="110"/>
      <c r="C71" s="111" t="s">
        <v>37</v>
      </c>
    </row>
    <row r="72" spans="2:3" x14ac:dyDescent="0.2">
      <c r="B72" s="110"/>
      <c r="C72" s="111"/>
    </row>
    <row r="73" spans="2:3" x14ac:dyDescent="0.2">
      <c r="B73" s="110"/>
      <c r="C73" s="115"/>
    </row>
    <row r="74" spans="2:3" x14ac:dyDescent="0.2">
      <c r="B74" s="116" t="s">
        <v>78</v>
      </c>
      <c r="C74" s="118" t="s">
        <v>79</v>
      </c>
    </row>
    <row r="75" spans="2:3" x14ac:dyDescent="0.2">
      <c r="B75" s="117"/>
      <c r="C75" s="119" t="s">
        <v>80</v>
      </c>
    </row>
    <row r="76" spans="2:3" x14ac:dyDescent="0.2">
      <c r="B76" s="117"/>
      <c r="C76" s="119" t="s">
        <v>81</v>
      </c>
    </row>
    <row r="77" spans="2:3" x14ac:dyDescent="0.2">
      <c r="B77" s="117"/>
      <c r="C77" s="120" t="s">
        <v>82</v>
      </c>
    </row>
    <row r="78" spans="2:3" x14ac:dyDescent="0.2">
      <c r="B78" s="117"/>
      <c r="C78" s="121" t="s">
        <v>83</v>
      </c>
    </row>
    <row r="79" spans="2:3" x14ac:dyDescent="0.2">
      <c r="B79" s="117"/>
      <c r="C79" s="117" t="s">
        <v>84</v>
      </c>
    </row>
    <row r="80" spans="2:3" x14ac:dyDescent="0.2">
      <c r="B80" s="117"/>
      <c r="C80" s="117" t="s">
        <v>85</v>
      </c>
    </row>
    <row r="81" spans="2:3" x14ac:dyDescent="0.2">
      <c r="B81" s="116" t="s">
        <v>149</v>
      </c>
      <c r="C81" s="118" t="s">
        <v>109</v>
      </c>
    </row>
    <row r="82" spans="2:3" x14ac:dyDescent="0.2">
      <c r="B82" s="117"/>
      <c r="C82" s="122" t="s">
        <v>150</v>
      </c>
    </row>
    <row r="83" spans="2:3" x14ac:dyDescent="0.2">
      <c r="B83" s="117"/>
      <c r="C83" s="122" t="s">
        <v>157</v>
      </c>
    </row>
    <row r="84" spans="2:3" x14ac:dyDescent="0.2">
      <c r="B84" s="117"/>
      <c r="C84" s="120" t="s">
        <v>151</v>
      </c>
    </row>
    <row r="85" spans="2:3" x14ac:dyDescent="0.2">
      <c r="B85" s="117"/>
      <c r="C85" s="120" t="s">
        <v>152</v>
      </c>
    </row>
    <row r="86" spans="2:3" x14ac:dyDescent="0.2">
      <c r="B86" s="117"/>
      <c r="C86" s="120" t="s">
        <v>153</v>
      </c>
    </row>
    <row r="87" spans="2:3" x14ac:dyDescent="0.2">
      <c r="B87" s="117"/>
      <c r="C87" s="120" t="s">
        <v>154</v>
      </c>
    </row>
    <row r="88" spans="2:3" x14ac:dyDescent="0.2">
      <c r="B88" s="116" t="s">
        <v>155</v>
      </c>
      <c r="C88" s="123" t="s">
        <v>156</v>
      </c>
    </row>
    <row r="89" spans="2:3" x14ac:dyDescent="0.2">
      <c r="B89" s="117"/>
      <c r="C89" s="122" t="s">
        <v>150</v>
      </c>
    </row>
    <row r="90" spans="2:3" x14ac:dyDescent="0.2">
      <c r="B90" s="117"/>
      <c r="C90" s="122" t="s">
        <v>157</v>
      </c>
    </row>
    <row r="91" spans="2:3" x14ac:dyDescent="0.2">
      <c r="B91" s="117"/>
      <c r="C91" s="120" t="s">
        <v>151</v>
      </c>
    </row>
    <row r="92" spans="2:3" x14ac:dyDescent="0.2">
      <c r="B92" s="117"/>
      <c r="C92" s="120" t="s">
        <v>152</v>
      </c>
    </row>
    <row r="93" spans="2:3" x14ac:dyDescent="0.2">
      <c r="B93" s="117"/>
      <c r="C93" s="120" t="s">
        <v>153</v>
      </c>
    </row>
    <row r="94" spans="2:3" x14ac:dyDescent="0.2">
      <c r="B94" s="117"/>
      <c r="C94" s="120" t="s">
        <v>154</v>
      </c>
    </row>
  </sheetData>
  <mergeCells count="4">
    <mergeCell ref="B33:C33"/>
    <mergeCell ref="B42:C42"/>
    <mergeCell ref="F3:G3"/>
    <mergeCell ref="F2:G2"/>
  </mergeCells>
  <conditionalFormatting sqref="E5">
    <cfRule type="colorScale" priority="2">
      <colorScale>
        <cfvo type="min"/>
        <cfvo type="max"/>
        <color rgb="FFFFEF9C"/>
        <color rgb="FFFF7128"/>
      </colorScale>
    </cfRule>
    <cfRule type="dataBar" priority="3">
      <dataBar>
        <cfvo type="min"/>
        <cfvo type="max"/>
        <color rgb="FF638EC6"/>
      </dataBar>
    </cfRule>
  </conditionalFormatting>
  <conditionalFormatting sqref="G11">
    <cfRule type="containsText" dxfId="0" priority="1" operator="containsText" text="ffffffffff">
      <formula>NOT(ISERROR(SEARCH("ffffffffff",G11)))</formula>
    </cfRule>
  </conditionalFormatting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topLeftCell="A4" workbookViewId="0">
      <selection activeCell="I25" sqref="I25"/>
    </sheetView>
  </sheetViews>
  <sheetFormatPr baseColWidth="10" defaultColWidth="11.42578125" defaultRowHeight="12.75" x14ac:dyDescent="0.2"/>
  <cols>
    <col min="1" max="8" width="11.42578125" style="296"/>
    <col min="9" max="9" width="13.28515625" style="296" bestFit="1" customWidth="1"/>
    <col min="10" max="16384" width="11.42578125" style="296"/>
  </cols>
  <sheetData>
    <row r="2" spans="1:15" x14ac:dyDescent="0.2">
      <c r="A2" s="296">
        <v>26000</v>
      </c>
      <c r="D2" s="296" t="s">
        <v>431</v>
      </c>
    </row>
    <row r="3" spans="1:15" x14ac:dyDescent="0.2">
      <c r="A3" s="296">
        <v>1500000</v>
      </c>
    </row>
    <row r="4" spans="1:15" x14ac:dyDescent="0.2">
      <c r="B4" s="296" t="s">
        <v>432</v>
      </c>
    </row>
    <row r="7" spans="1:15" x14ac:dyDescent="0.2">
      <c r="B7" s="304" t="s">
        <v>438</v>
      </c>
      <c r="C7" s="297" t="s">
        <v>68</v>
      </c>
      <c r="D7" s="297" t="s">
        <v>345</v>
      </c>
      <c r="E7" s="297" t="s">
        <v>346</v>
      </c>
      <c r="F7" s="297" t="s">
        <v>347</v>
      </c>
      <c r="G7" s="297" t="s">
        <v>348</v>
      </c>
      <c r="H7" s="297" t="s">
        <v>349</v>
      </c>
      <c r="I7" s="297" t="s">
        <v>350</v>
      </c>
      <c r="J7" s="297" t="s">
        <v>351</v>
      </c>
      <c r="K7" s="297" t="s">
        <v>352</v>
      </c>
      <c r="L7" s="297" t="s">
        <v>353</v>
      </c>
      <c r="M7" s="297" t="s">
        <v>354</v>
      </c>
      <c r="N7" s="297" t="s">
        <v>355</v>
      </c>
      <c r="O7" s="297" t="s">
        <v>356</v>
      </c>
    </row>
    <row r="8" spans="1:15" x14ac:dyDescent="0.2">
      <c r="B8" s="297" t="s">
        <v>433</v>
      </c>
      <c r="C8" s="297">
        <v>3</v>
      </c>
      <c r="D8" s="298">
        <f>(C8/12*$A$2)</f>
        <v>6500</v>
      </c>
      <c r="E8" s="298">
        <v>6500</v>
      </c>
      <c r="F8" s="298">
        <v>6500</v>
      </c>
      <c r="G8" s="298">
        <v>6500</v>
      </c>
      <c r="H8" s="298">
        <v>6500</v>
      </c>
      <c r="I8" s="298">
        <v>6500</v>
      </c>
      <c r="J8" s="298">
        <v>6500</v>
      </c>
      <c r="K8" s="298">
        <v>6500</v>
      </c>
      <c r="L8" s="298">
        <v>6500</v>
      </c>
      <c r="M8" s="298">
        <v>6500</v>
      </c>
      <c r="N8" s="298">
        <v>6500</v>
      </c>
      <c r="O8" s="298">
        <v>6500</v>
      </c>
    </row>
    <row r="9" spans="1:15" x14ac:dyDescent="0.2">
      <c r="B9" s="297" t="s">
        <v>434</v>
      </c>
      <c r="C9" s="297">
        <v>2</v>
      </c>
      <c r="D9" s="298">
        <f>(C9/12*$A$2)</f>
        <v>4333.333333333333</v>
      </c>
      <c r="E9" s="298">
        <v>4333.333333333333</v>
      </c>
      <c r="F9" s="298">
        <v>4333.333333333333</v>
      </c>
      <c r="G9" s="298">
        <v>4333.333333333333</v>
      </c>
      <c r="H9" s="298">
        <v>4333.333333333333</v>
      </c>
      <c r="I9" s="298">
        <v>4333.333333333333</v>
      </c>
      <c r="J9" s="298">
        <v>4333.333333333333</v>
      </c>
      <c r="K9" s="298">
        <v>4333.333333333333</v>
      </c>
      <c r="L9" s="298">
        <v>4333.333333333333</v>
      </c>
      <c r="M9" s="298">
        <v>4333.333333333333</v>
      </c>
      <c r="N9" s="298">
        <v>4333.333333333333</v>
      </c>
      <c r="O9" s="298">
        <v>4333.333333333333</v>
      </c>
    </row>
    <row r="10" spans="1:15" x14ac:dyDescent="0.2">
      <c r="B10" s="297" t="s">
        <v>435</v>
      </c>
      <c r="C10" s="297">
        <v>1.5</v>
      </c>
      <c r="D10" s="298">
        <f>(C10/12*$A$2)</f>
        <v>3250</v>
      </c>
      <c r="E10" s="298">
        <v>3250</v>
      </c>
      <c r="F10" s="298">
        <v>3250</v>
      </c>
      <c r="G10" s="298">
        <v>3250</v>
      </c>
      <c r="H10" s="298">
        <v>3250</v>
      </c>
      <c r="I10" s="298">
        <v>3250</v>
      </c>
      <c r="J10" s="298">
        <v>3250</v>
      </c>
      <c r="K10" s="298">
        <v>3250</v>
      </c>
      <c r="L10" s="298">
        <v>3250</v>
      </c>
      <c r="M10" s="298">
        <v>3250</v>
      </c>
      <c r="N10" s="298">
        <v>3250</v>
      </c>
      <c r="O10" s="298">
        <v>3250</v>
      </c>
    </row>
    <row r="11" spans="1:15" x14ac:dyDescent="0.2">
      <c r="B11" s="297" t="s">
        <v>436</v>
      </c>
      <c r="C11" s="297">
        <v>1</v>
      </c>
      <c r="D11" s="298">
        <f>(C11/12*$A$2)</f>
        <v>2166.6666666666665</v>
      </c>
      <c r="E11" s="298">
        <v>2166.6666666666665</v>
      </c>
      <c r="F11" s="298">
        <v>2166.6666666666665</v>
      </c>
      <c r="G11" s="298">
        <v>2166.6666666666665</v>
      </c>
      <c r="H11" s="298">
        <v>2166.6666666666665</v>
      </c>
      <c r="I11" s="298">
        <v>2166.6666666666665</v>
      </c>
      <c r="J11" s="298">
        <v>2166.6666666666665</v>
      </c>
      <c r="K11" s="298">
        <v>2166.6666666666665</v>
      </c>
      <c r="L11" s="298">
        <v>2166.6666666666665</v>
      </c>
      <c r="M11" s="298">
        <v>2166.6666666666665</v>
      </c>
      <c r="N11" s="298">
        <v>2166.6666666666665</v>
      </c>
      <c r="O11" s="298">
        <v>2166.6666666666665</v>
      </c>
    </row>
    <row r="12" spans="1:15" x14ac:dyDescent="0.2">
      <c r="B12" s="297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</row>
    <row r="13" spans="1:15" x14ac:dyDescent="0.2">
      <c r="D13" s="874" t="s">
        <v>437</v>
      </c>
      <c r="E13" s="875"/>
      <c r="F13" s="875"/>
      <c r="G13" s="876"/>
    </row>
    <row r="14" spans="1:15" x14ac:dyDescent="0.2">
      <c r="D14" s="299">
        <v>12</v>
      </c>
      <c r="E14" s="299">
        <v>6</v>
      </c>
      <c r="F14" s="299">
        <v>3</v>
      </c>
      <c r="G14" s="299">
        <v>1</v>
      </c>
    </row>
    <row r="15" spans="1:15" x14ac:dyDescent="0.2">
      <c r="B15" s="300">
        <f>(C15*C8)*$A$2</f>
        <v>3900000</v>
      </c>
      <c r="C15" s="296">
        <v>50</v>
      </c>
      <c r="D15" s="299">
        <f>B15/D14</f>
        <v>325000</v>
      </c>
      <c r="E15" s="299">
        <f>B15/E14</f>
        <v>650000</v>
      </c>
      <c r="F15" s="299">
        <f>B15/F14</f>
        <v>1300000</v>
      </c>
      <c r="G15" s="301">
        <f>B15/G14</f>
        <v>3900000</v>
      </c>
    </row>
    <row r="16" spans="1:15" x14ac:dyDescent="0.2">
      <c r="B16" s="300">
        <f>(C16*C9)*$A$2</f>
        <v>5200000</v>
      </c>
      <c r="C16" s="296">
        <v>100</v>
      </c>
      <c r="D16" s="299">
        <f>B16/12</f>
        <v>433333.33333333331</v>
      </c>
      <c r="E16" s="299">
        <f>B16/E14</f>
        <v>866666.66666666663</v>
      </c>
      <c r="F16" s="299">
        <f>B16/F14</f>
        <v>1733333.3333333333</v>
      </c>
      <c r="G16" s="302">
        <f>B16/G14</f>
        <v>5200000</v>
      </c>
    </row>
    <row r="17" spans="2:7" x14ac:dyDescent="0.2">
      <c r="B17" s="300">
        <f>(C17*$C$10)*$A$2</f>
        <v>5850000</v>
      </c>
      <c r="C17" s="296">
        <v>150</v>
      </c>
      <c r="D17" s="299">
        <f>C17*$D$10</f>
        <v>487500</v>
      </c>
      <c r="E17" s="299">
        <f>B17/E14</f>
        <v>975000</v>
      </c>
      <c r="F17" s="299">
        <f>B17/F14</f>
        <v>1950000</v>
      </c>
      <c r="G17" s="303">
        <f>B17/G14</f>
        <v>5850000</v>
      </c>
    </row>
    <row r="18" spans="2:7" x14ac:dyDescent="0.2">
      <c r="B18" s="300">
        <f t="shared" ref="B18:B24" si="0">(C18*$C$10)*$A$2</f>
        <v>7800000</v>
      </c>
      <c r="C18" s="296">
        <v>200</v>
      </c>
      <c r="D18" s="299">
        <f t="shared" ref="D18:D24" si="1">C18*$D$10</f>
        <v>650000</v>
      </c>
      <c r="E18" s="299">
        <f>B18/E14</f>
        <v>1300000</v>
      </c>
      <c r="F18" s="301">
        <f>B18/F14</f>
        <v>2600000</v>
      </c>
      <c r="G18" s="299">
        <f>B18/G14</f>
        <v>7800000</v>
      </c>
    </row>
    <row r="19" spans="2:7" x14ac:dyDescent="0.2">
      <c r="B19" s="300">
        <f t="shared" si="0"/>
        <v>9750000</v>
      </c>
      <c r="C19" s="296">
        <v>250</v>
      </c>
      <c r="D19" s="299">
        <f t="shared" si="1"/>
        <v>812500</v>
      </c>
      <c r="E19" s="299">
        <f>B19/E14</f>
        <v>1625000</v>
      </c>
      <c r="F19" s="302">
        <f>B19/F14</f>
        <v>3250000</v>
      </c>
      <c r="G19" s="299">
        <f>B19/G14</f>
        <v>9750000</v>
      </c>
    </row>
    <row r="20" spans="2:7" x14ac:dyDescent="0.2">
      <c r="B20" s="300">
        <f t="shared" si="0"/>
        <v>11700000</v>
      </c>
      <c r="C20" s="296">
        <v>300</v>
      </c>
      <c r="D20" s="299">
        <f t="shared" si="1"/>
        <v>975000</v>
      </c>
      <c r="E20" s="299">
        <f>B20/E14</f>
        <v>1950000</v>
      </c>
      <c r="F20" s="302">
        <f>B20/F14</f>
        <v>3900000</v>
      </c>
      <c r="G20" s="299">
        <f>B20/G14</f>
        <v>11700000</v>
      </c>
    </row>
    <row r="21" spans="2:7" x14ac:dyDescent="0.2">
      <c r="B21" s="300">
        <f t="shared" si="0"/>
        <v>13650000</v>
      </c>
      <c r="C21" s="296">
        <v>350</v>
      </c>
      <c r="D21" s="299">
        <f>C21*$D$10</f>
        <v>1137500</v>
      </c>
      <c r="E21" s="299">
        <f>B21/E14</f>
        <v>2275000</v>
      </c>
      <c r="F21" s="302">
        <f>B21/F14</f>
        <v>4550000</v>
      </c>
      <c r="G21" s="299">
        <f>B21/G14</f>
        <v>13650000</v>
      </c>
    </row>
    <row r="22" spans="2:7" x14ac:dyDescent="0.2">
      <c r="B22" s="300">
        <f t="shared" si="0"/>
        <v>15600000</v>
      </c>
      <c r="C22" s="296">
        <v>400</v>
      </c>
      <c r="D22" s="299">
        <f t="shared" si="1"/>
        <v>1300000</v>
      </c>
      <c r="E22" s="299">
        <f>B22/E14</f>
        <v>2600000</v>
      </c>
      <c r="F22" s="302">
        <f>B22/F14</f>
        <v>5200000</v>
      </c>
      <c r="G22" s="299">
        <f>B22/G14</f>
        <v>15600000</v>
      </c>
    </row>
    <row r="23" spans="2:7" x14ac:dyDescent="0.2">
      <c r="B23" s="300">
        <f t="shared" si="0"/>
        <v>17550000</v>
      </c>
      <c r="C23" s="296">
        <v>450</v>
      </c>
      <c r="D23" s="299">
        <f t="shared" si="1"/>
        <v>1462500</v>
      </c>
      <c r="E23" s="299">
        <f>B23/E14</f>
        <v>2925000</v>
      </c>
      <c r="F23" s="303">
        <f>B23/F14</f>
        <v>5850000</v>
      </c>
      <c r="G23" s="299">
        <f>B23/G14</f>
        <v>17550000</v>
      </c>
    </row>
    <row r="24" spans="2:7" x14ac:dyDescent="0.2">
      <c r="B24" s="300">
        <f t="shared" si="0"/>
        <v>19500000</v>
      </c>
      <c r="C24" s="296">
        <v>500</v>
      </c>
      <c r="D24" s="299">
        <f t="shared" si="1"/>
        <v>1625000</v>
      </c>
      <c r="E24" s="301">
        <f>B24/E14</f>
        <v>3250000</v>
      </c>
      <c r="F24" s="299">
        <f>B24/F14</f>
        <v>6500000</v>
      </c>
      <c r="G24" s="299">
        <f>B25/G14</f>
        <v>14300000</v>
      </c>
    </row>
    <row r="25" spans="2:7" x14ac:dyDescent="0.2">
      <c r="B25" s="300">
        <f>(C25*$C$11)*$A$2</f>
        <v>14300000</v>
      </c>
      <c r="C25" s="296">
        <v>550</v>
      </c>
      <c r="D25" s="299">
        <f>C25*$D$11</f>
        <v>1191666.6666666665</v>
      </c>
      <c r="E25" s="302">
        <f>B25/E14</f>
        <v>2383333.3333333335</v>
      </c>
      <c r="F25" s="299">
        <f>B25/F14</f>
        <v>4766666.666666667</v>
      </c>
      <c r="G25" s="299">
        <f>B25/G14</f>
        <v>14300000</v>
      </c>
    </row>
    <row r="26" spans="2:7" x14ac:dyDescent="0.2">
      <c r="B26" s="300">
        <f t="shared" ref="B26:B34" si="2">(C26*$C$11)*$A$2</f>
        <v>15600000</v>
      </c>
      <c r="C26" s="296">
        <v>600</v>
      </c>
      <c r="D26" s="299">
        <f t="shared" ref="D26:D34" si="3">C26*$D$11</f>
        <v>1300000</v>
      </c>
      <c r="E26" s="302">
        <f>B26/E14</f>
        <v>2600000</v>
      </c>
      <c r="F26" s="299">
        <f>B26/F14</f>
        <v>5200000</v>
      </c>
      <c r="G26" s="299">
        <f>B26/G14</f>
        <v>15600000</v>
      </c>
    </row>
    <row r="27" spans="2:7" x14ac:dyDescent="0.2">
      <c r="B27" s="300">
        <f t="shared" si="2"/>
        <v>16900000</v>
      </c>
      <c r="C27" s="296">
        <v>650</v>
      </c>
      <c r="D27" s="299">
        <f t="shared" si="3"/>
        <v>1408333.3333333333</v>
      </c>
      <c r="E27" s="302">
        <f>B27/E14</f>
        <v>2816666.6666666665</v>
      </c>
      <c r="F27" s="299">
        <f>B27/F14</f>
        <v>5633333.333333333</v>
      </c>
      <c r="G27" s="299">
        <f>B27/G14</f>
        <v>16900000</v>
      </c>
    </row>
    <row r="28" spans="2:7" x14ac:dyDescent="0.2">
      <c r="B28" s="300">
        <f t="shared" si="2"/>
        <v>18200000</v>
      </c>
      <c r="C28" s="296">
        <v>700</v>
      </c>
      <c r="D28" s="299">
        <f t="shared" si="3"/>
        <v>1516666.6666666665</v>
      </c>
      <c r="E28" s="302">
        <f>B28/E14</f>
        <v>3033333.3333333335</v>
      </c>
      <c r="F28" s="299">
        <f>B28/F14</f>
        <v>6066666.666666667</v>
      </c>
      <c r="G28" s="299">
        <f>B28/G14</f>
        <v>18200000</v>
      </c>
    </row>
    <row r="29" spans="2:7" x14ac:dyDescent="0.2">
      <c r="B29" s="300">
        <f t="shared" si="2"/>
        <v>19500000</v>
      </c>
      <c r="C29" s="296">
        <v>750</v>
      </c>
      <c r="D29" s="299">
        <f t="shared" si="3"/>
        <v>1625000</v>
      </c>
      <c r="E29" s="302">
        <f>B29/E14</f>
        <v>3250000</v>
      </c>
      <c r="F29" s="299">
        <f>B29/F14</f>
        <v>6500000</v>
      </c>
      <c r="G29" s="299">
        <f>B29/G14</f>
        <v>19500000</v>
      </c>
    </row>
    <row r="30" spans="2:7" x14ac:dyDescent="0.2">
      <c r="B30" s="300">
        <f t="shared" si="2"/>
        <v>20800000</v>
      </c>
      <c r="C30" s="296">
        <v>800</v>
      </c>
      <c r="D30" s="299">
        <f t="shared" si="3"/>
        <v>1733333.3333333333</v>
      </c>
      <c r="E30" s="302">
        <f>B30/E14</f>
        <v>3466666.6666666665</v>
      </c>
      <c r="F30" s="299">
        <f>B30/F14</f>
        <v>6933333.333333333</v>
      </c>
      <c r="G30" s="299">
        <f>B30/G14</f>
        <v>20800000</v>
      </c>
    </row>
    <row r="31" spans="2:7" x14ac:dyDescent="0.2">
      <c r="B31" s="300">
        <f t="shared" si="2"/>
        <v>22100000</v>
      </c>
      <c r="C31" s="296">
        <v>850</v>
      </c>
      <c r="D31" s="299">
        <f t="shared" si="3"/>
        <v>1841666.6666666665</v>
      </c>
      <c r="E31" s="302">
        <f>B31/E14</f>
        <v>3683333.3333333335</v>
      </c>
      <c r="F31" s="299">
        <f>B31/F14</f>
        <v>7366666.666666667</v>
      </c>
      <c r="G31" s="299">
        <f>B31/G14</f>
        <v>22100000</v>
      </c>
    </row>
    <row r="32" spans="2:7" x14ac:dyDescent="0.2">
      <c r="B32" s="300">
        <f t="shared" si="2"/>
        <v>23400000</v>
      </c>
      <c r="C32" s="296">
        <v>900</v>
      </c>
      <c r="D32" s="299">
        <f t="shared" si="3"/>
        <v>1949999.9999999998</v>
      </c>
      <c r="E32" s="302">
        <f>B32/E14</f>
        <v>3900000</v>
      </c>
      <c r="F32" s="299">
        <f>B32/F14</f>
        <v>7800000</v>
      </c>
      <c r="G32" s="299">
        <f>B32/G14</f>
        <v>23400000</v>
      </c>
    </row>
    <row r="33" spans="2:7" x14ac:dyDescent="0.2">
      <c r="B33" s="300">
        <f t="shared" si="2"/>
        <v>24700000</v>
      </c>
      <c r="C33" s="296">
        <v>950</v>
      </c>
      <c r="D33" s="299">
        <f t="shared" si="3"/>
        <v>2058333.3333333333</v>
      </c>
      <c r="E33" s="302">
        <f>B33/E14</f>
        <v>4116666.6666666665</v>
      </c>
      <c r="F33" s="299">
        <f>B33/F14</f>
        <v>8233333.333333333</v>
      </c>
      <c r="G33" s="299">
        <f>B33/G14</f>
        <v>24700000</v>
      </c>
    </row>
    <row r="34" spans="2:7" x14ac:dyDescent="0.2">
      <c r="B34" s="300">
        <f t="shared" si="2"/>
        <v>26000000</v>
      </c>
      <c r="C34" s="296">
        <v>1000</v>
      </c>
      <c r="D34" s="299">
        <f t="shared" si="3"/>
        <v>2166666.6666666665</v>
      </c>
      <c r="E34" s="303">
        <f>B34/E14</f>
        <v>4333333.333333333</v>
      </c>
      <c r="F34" s="299">
        <f>B34/F14</f>
        <v>8666666.666666666</v>
      </c>
      <c r="G34" s="299">
        <f>B34/G14</f>
        <v>26000000</v>
      </c>
    </row>
  </sheetData>
  <mergeCells count="1">
    <mergeCell ref="D13:G1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87"/>
  <sheetViews>
    <sheetView topLeftCell="C31" workbookViewId="0">
      <selection activeCell="G64" sqref="G64"/>
    </sheetView>
  </sheetViews>
  <sheetFormatPr baseColWidth="10" defaultColWidth="11.42578125" defaultRowHeight="12.75" x14ac:dyDescent="0.2"/>
  <cols>
    <col min="1" max="16384" width="11.42578125" style="448"/>
  </cols>
  <sheetData>
    <row r="1" spans="3:15" ht="13.5" thickBot="1" x14ac:dyDescent="0.25"/>
    <row r="2" spans="3:15" ht="13.5" thickBot="1" x14ac:dyDescent="0.25">
      <c r="D2" s="449" t="s">
        <v>464</v>
      </c>
      <c r="G2" s="232" t="s">
        <v>175</v>
      </c>
      <c r="H2" s="233" t="s">
        <v>210</v>
      </c>
      <c r="I2" s="233" t="s">
        <v>211</v>
      </c>
      <c r="J2" s="233" t="s">
        <v>212</v>
      </c>
      <c r="K2" s="233" t="s">
        <v>465</v>
      </c>
      <c r="L2" s="233" t="s">
        <v>181</v>
      </c>
      <c r="M2" s="234" t="s">
        <v>213</v>
      </c>
      <c r="N2" s="251" t="s">
        <v>394</v>
      </c>
      <c r="O2" s="577" t="s">
        <v>371</v>
      </c>
    </row>
    <row r="3" spans="3:15" x14ac:dyDescent="0.2">
      <c r="O3" s="578" t="s">
        <v>387</v>
      </c>
    </row>
    <row r="4" spans="3:15" x14ac:dyDescent="0.2">
      <c r="C4" s="401"/>
      <c r="D4" s="401" t="s">
        <v>0</v>
      </c>
    </row>
    <row r="5" spans="3:15" x14ac:dyDescent="0.2">
      <c r="C5" s="85"/>
      <c r="D5" s="333" t="s">
        <v>1</v>
      </c>
      <c r="G5" s="209">
        <v>50000</v>
      </c>
      <c r="H5" s="550">
        <v>54000</v>
      </c>
      <c r="I5" s="554">
        <v>29100</v>
      </c>
      <c r="J5" s="209">
        <v>52000</v>
      </c>
      <c r="K5" s="554">
        <v>22650</v>
      </c>
      <c r="L5" s="554">
        <v>23078</v>
      </c>
      <c r="M5" s="554">
        <v>24328</v>
      </c>
      <c r="N5" s="550">
        <v>11170</v>
      </c>
    </row>
    <row r="6" spans="3:15" x14ac:dyDescent="0.2">
      <c r="C6" s="85"/>
      <c r="D6" s="333" t="s">
        <v>4</v>
      </c>
      <c r="G6" s="209">
        <v>53000</v>
      </c>
      <c r="H6" s="551">
        <v>56000</v>
      </c>
      <c r="I6" s="554">
        <v>29100</v>
      </c>
      <c r="J6" s="209">
        <v>52000</v>
      </c>
      <c r="K6" s="554">
        <v>22650</v>
      </c>
      <c r="L6" s="554">
        <v>23078</v>
      </c>
      <c r="M6" s="554">
        <v>24328</v>
      </c>
      <c r="N6" s="550">
        <v>11170</v>
      </c>
    </row>
    <row r="7" spans="3:15" x14ac:dyDescent="0.2">
      <c r="C7" s="350"/>
      <c r="D7" s="351" t="s">
        <v>5</v>
      </c>
      <c r="G7" s="209">
        <f>SUM(G5:G6)</f>
        <v>103000</v>
      </c>
      <c r="H7" s="209">
        <f>SUM(H5:H6)</f>
        <v>110000</v>
      </c>
      <c r="I7" s="209">
        <f t="shared" ref="I7:N7" si="0">SUM(I5:I6)</f>
        <v>58200</v>
      </c>
      <c r="J7" s="209">
        <f t="shared" si="0"/>
        <v>104000</v>
      </c>
      <c r="K7" s="209">
        <f t="shared" si="0"/>
        <v>45300</v>
      </c>
      <c r="L7" s="209">
        <f t="shared" si="0"/>
        <v>46156</v>
      </c>
      <c r="M7" s="209">
        <f t="shared" si="0"/>
        <v>48656</v>
      </c>
      <c r="N7" s="209">
        <f t="shared" si="0"/>
        <v>22340</v>
      </c>
    </row>
    <row r="8" spans="3:15" x14ac:dyDescent="0.2">
      <c r="C8" s="85"/>
      <c r="D8" s="218" t="s">
        <v>6</v>
      </c>
      <c r="G8" s="209"/>
      <c r="H8" s="209"/>
      <c r="I8" s="209"/>
      <c r="J8" s="209"/>
      <c r="K8" s="209"/>
      <c r="L8" s="209"/>
      <c r="M8" s="209"/>
      <c r="N8" s="209"/>
    </row>
    <row r="9" spans="3:15" x14ac:dyDescent="0.2">
      <c r="C9" s="85"/>
      <c r="D9" s="333" t="s">
        <v>7</v>
      </c>
      <c r="G9" s="209">
        <v>20683</v>
      </c>
      <c r="H9" s="552">
        <v>17465</v>
      </c>
      <c r="I9" s="552">
        <v>4500</v>
      </c>
      <c r="J9" s="209">
        <f>+G9*1.05</f>
        <v>21717.15</v>
      </c>
      <c r="K9" s="552">
        <v>3590</v>
      </c>
      <c r="L9" s="552">
        <v>5057</v>
      </c>
      <c r="M9" s="552">
        <v>3340</v>
      </c>
      <c r="N9" s="553">
        <v>3340</v>
      </c>
    </row>
    <row r="10" spans="3:15" x14ac:dyDescent="0.2">
      <c r="C10" s="85"/>
      <c r="D10" s="333" t="s">
        <v>8</v>
      </c>
      <c r="G10" s="209">
        <v>32485</v>
      </c>
      <c r="H10" s="552">
        <v>34781</v>
      </c>
      <c r="I10" s="552">
        <v>9200</v>
      </c>
      <c r="J10" s="209">
        <f t="shared" ref="J10:J15" si="1">+G10*1.05</f>
        <v>34109.25</v>
      </c>
      <c r="K10" s="552">
        <v>11210</v>
      </c>
      <c r="L10" s="552">
        <v>10517</v>
      </c>
      <c r="M10" s="552">
        <v>6940</v>
      </c>
      <c r="N10" s="553">
        <v>6940</v>
      </c>
    </row>
    <row r="11" spans="3:15" x14ac:dyDescent="0.2">
      <c r="C11" s="85"/>
      <c r="D11" s="333" t="s">
        <v>9</v>
      </c>
      <c r="G11" s="209">
        <v>27288</v>
      </c>
      <c r="H11" s="552">
        <v>26720</v>
      </c>
      <c r="I11" s="552">
        <v>12800</v>
      </c>
      <c r="J11" s="209">
        <f t="shared" si="1"/>
        <v>28652.400000000001</v>
      </c>
      <c r="K11" s="552">
        <v>15240</v>
      </c>
      <c r="L11" s="552">
        <v>14213</v>
      </c>
      <c r="M11" s="552">
        <v>9390</v>
      </c>
      <c r="N11" s="553">
        <v>9300</v>
      </c>
    </row>
    <row r="12" spans="3:15" x14ac:dyDescent="0.2">
      <c r="C12" s="85"/>
      <c r="D12" s="333" t="s">
        <v>10</v>
      </c>
      <c r="G12" s="209">
        <v>26939</v>
      </c>
      <c r="H12" s="552">
        <v>17993</v>
      </c>
      <c r="I12" s="552">
        <v>8800</v>
      </c>
      <c r="J12" s="209">
        <f t="shared" si="1"/>
        <v>28285.95</v>
      </c>
      <c r="K12" s="552">
        <v>1520</v>
      </c>
      <c r="L12" s="552">
        <v>7720</v>
      </c>
      <c r="M12" s="552">
        <v>5398</v>
      </c>
      <c r="N12" s="553">
        <v>1440</v>
      </c>
    </row>
    <row r="13" spans="3:15" x14ac:dyDescent="0.2">
      <c r="C13" s="85"/>
      <c r="D13" s="333" t="s">
        <v>11</v>
      </c>
      <c r="G13" s="209">
        <v>11645</v>
      </c>
      <c r="H13" s="552">
        <v>11760</v>
      </c>
      <c r="I13" s="552">
        <v>2700</v>
      </c>
      <c r="J13" s="209">
        <f t="shared" si="1"/>
        <v>12227.25</v>
      </c>
      <c r="K13" s="552">
        <v>2280</v>
      </c>
      <c r="L13" s="552">
        <v>3142</v>
      </c>
      <c r="M13" s="552">
        <v>2080</v>
      </c>
      <c r="N13" s="553">
        <v>2080</v>
      </c>
    </row>
    <row r="14" spans="3:15" x14ac:dyDescent="0.2">
      <c r="C14" s="85"/>
      <c r="D14" s="333" t="s">
        <v>12</v>
      </c>
      <c r="G14" s="209">
        <v>117935</v>
      </c>
      <c r="H14" s="552">
        <v>115000</v>
      </c>
      <c r="I14" s="552">
        <v>98800</v>
      </c>
      <c r="J14" s="209">
        <f t="shared" si="1"/>
        <v>123831.75</v>
      </c>
      <c r="K14" s="552">
        <v>154730</v>
      </c>
      <c r="L14" s="552">
        <v>105000</v>
      </c>
      <c r="M14" s="552">
        <v>76640</v>
      </c>
      <c r="N14" s="553">
        <v>76640</v>
      </c>
    </row>
    <row r="15" spans="3:15" x14ac:dyDescent="0.2">
      <c r="C15" s="85"/>
      <c r="D15" s="333" t="s">
        <v>13</v>
      </c>
      <c r="G15" s="209">
        <v>79874</v>
      </c>
      <c r="H15" s="552">
        <v>97154</v>
      </c>
      <c r="I15" s="552">
        <v>67700</v>
      </c>
      <c r="J15" s="209">
        <f t="shared" si="1"/>
        <v>83867.7</v>
      </c>
      <c r="K15" s="552">
        <v>60700</v>
      </c>
      <c r="L15" s="552">
        <v>121798</v>
      </c>
      <c r="M15" s="552">
        <v>59472</v>
      </c>
      <c r="N15" s="552">
        <v>96505</v>
      </c>
    </row>
    <row r="16" spans="3:15" x14ac:dyDescent="0.2">
      <c r="C16" s="350"/>
      <c r="D16" s="351" t="s">
        <v>5</v>
      </c>
      <c r="G16" s="209">
        <f>SUM(G9:G15)</f>
        <v>316849</v>
      </c>
      <c r="H16" s="209">
        <f>SUM(H9:H15)</f>
        <v>320873</v>
      </c>
      <c r="I16" s="209">
        <f t="shared" ref="I16:N16" si="2">SUM(I9:I15)</f>
        <v>204500</v>
      </c>
      <c r="J16" s="209">
        <f t="shared" si="2"/>
        <v>332691.45</v>
      </c>
      <c r="K16" s="209">
        <f t="shared" si="2"/>
        <v>249270</v>
      </c>
      <c r="L16" s="209">
        <f t="shared" si="2"/>
        <v>267447</v>
      </c>
      <c r="M16" s="209">
        <f t="shared" si="2"/>
        <v>163260</v>
      </c>
      <c r="N16" s="209">
        <f t="shared" si="2"/>
        <v>196245</v>
      </c>
    </row>
    <row r="17" spans="3:14" x14ac:dyDescent="0.2">
      <c r="C17" s="85"/>
      <c r="D17" s="333" t="s">
        <v>14</v>
      </c>
      <c r="G17" s="209"/>
      <c r="H17" s="209"/>
      <c r="I17" s="209"/>
      <c r="J17" s="209"/>
      <c r="K17" s="209"/>
      <c r="L17" s="209"/>
      <c r="M17" s="209"/>
      <c r="N17" s="209"/>
    </row>
    <row r="18" spans="3:14" x14ac:dyDescent="0.2">
      <c r="C18" s="85"/>
      <c r="D18" s="333" t="s">
        <v>15</v>
      </c>
      <c r="G18" s="209">
        <v>55827</v>
      </c>
      <c r="H18" s="552">
        <v>59500</v>
      </c>
      <c r="I18" s="552">
        <v>41400</v>
      </c>
      <c r="J18" s="209">
        <f t="shared" ref="J18:J22" si="3">+G18*1.05</f>
        <v>58618.350000000006</v>
      </c>
      <c r="K18" s="552">
        <v>35940</v>
      </c>
      <c r="L18" s="552">
        <v>31534</v>
      </c>
      <c r="M18" s="552">
        <v>20850</v>
      </c>
      <c r="N18" s="553">
        <v>20850</v>
      </c>
    </row>
    <row r="19" spans="3:14" x14ac:dyDescent="0.2">
      <c r="C19" s="85"/>
      <c r="D19" s="333" t="s">
        <v>16</v>
      </c>
      <c r="G19" s="209">
        <v>112370</v>
      </c>
      <c r="H19" s="552">
        <v>65720</v>
      </c>
      <c r="I19" s="552">
        <v>58800</v>
      </c>
      <c r="J19" s="209">
        <f t="shared" si="3"/>
        <v>117988.5</v>
      </c>
      <c r="K19" s="552">
        <v>41700</v>
      </c>
      <c r="L19" s="552">
        <v>36590</v>
      </c>
      <c r="M19" s="552">
        <v>24180</v>
      </c>
      <c r="N19" s="553">
        <v>24180</v>
      </c>
    </row>
    <row r="20" spans="3:14" x14ac:dyDescent="0.2">
      <c r="C20" s="85"/>
      <c r="D20" s="333" t="s">
        <v>17</v>
      </c>
      <c r="G20" s="209">
        <v>445109</v>
      </c>
      <c r="H20" s="552">
        <v>410500</v>
      </c>
      <c r="I20" s="552">
        <v>275400</v>
      </c>
      <c r="J20" s="209">
        <f t="shared" si="3"/>
        <v>467364.45</v>
      </c>
      <c r="K20" s="552">
        <v>123700</v>
      </c>
      <c r="L20" s="552">
        <v>209010</v>
      </c>
      <c r="M20" s="552">
        <v>182585</v>
      </c>
      <c r="N20" s="553">
        <v>138820</v>
      </c>
    </row>
    <row r="21" spans="3:14" x14ac:dyDescent="0.2">
      <c r="C21" s="85"/>
      <c r="D21" s="333" t="s">
        <v>18</v>
      </c>
      <c r="G21" s="209">
        <v>114716</v>
      </c>
      <c r="H21" s="552">
        <v>112660</v>
      </c>
      <c r="I21" s="552">
        <v>60600</v>
      </c>
      <c r="J21" s="209">
        <f t="shared" si="3"/>
        <v>120451.8</v>
      </c>
      <c r="K21" s="552">
        <v>49110</v>
      </c>
      <c r="L21" s="552">
        <v>43058</v>
      </c>
      <c r="M21" s="552">
        <v>28450</v>
      </c>
      <c r="N21" s="553">
        <v>15280</v>
      </c>
    </row>
    <row r="22" spans="3:14" x14ac:dyDescent="0.2">
      <c r="C22" s="85"/>
      <c r="D22" s="333" t="s">
        <v>19</v>
      </c>
      <c r="G22" s="209">
        <v>138116</v>
      </c>
      <c r="H22" s="552">
        <v>116410</v>
      </c>
      <c r="I22" s="552">
        <v>46300</v>
      </c>
      <c r="J22" s="209">
        <f t="shared" si="3"/>
        <v>145021.80000000002</v>
      </c>
      <c r="K22" s="552">
        <v>27638</v>
      </c>
      <c r="L22" s="552">
        <v>28432</v>
      </c>
      <c r="M22" s="552">
        <v>15070</v>
      </c>
      <c r="N22" s="553">
        <v>15070</v>
      </c>
    </row>
    <row r="23" spans="3:14" x14ac:dyDescent="0.2">
      <c r="C23" s="211"/>
      <c r="D23" s="351" t="s">
        <v>5</v>
      </c>
      <c r="G23" s="209">
        <f>SUM(G18:G22)</f>
        <v>866138</v>
      </c>
      <c r="H23" s="209">
        <f>SUM(H18:H22)</f>
        <v>764790</v>
      </c>
      <c r="I23" s="209">
        <f t="shared" ref="I23:N23" si="4">SUM(I18:I22)</f>
        <v>482500</v>
      </c>
      <c r="J23" s="209">
        <f t="shared" si="4"/>
        <v>909444.90000000014</v>
      </c>
      <c r="K23" s="209">
        <f t="shared" si="4"/>
        <v>278088</v>
      </c>
      <c r="L23" s="209">
        <f t="shared" si="4"/>
        <v>348624</v>
      </c>
      <c r="M23" s="209">
        <f t="shared" si="4"/>
        <v>271135</v>
      </c>
      <c r="N23" s="209">
        <f t="shared" si="4"/>
        <v>214200</v>
      </c>
    </row>
    <row r="24" spans="3:14" x14ac:dyDescent="0.2">
      <c r="C24" s="211"/>
      <c r="D24" s="351"/>
      <c r="G24" s="209"/>
      <c r="H24" s="209"/>
      <c r="I24" s="209"/>
      <c r="J24" s="209"/>
      <c r="K24" s="209"/>
      <c r="L24" s="209"/>
      <c r="M24" s="209"/>
      <c r="N24" s="209"/>
    </row>
    <row r="25" spans="3:14" x14ac:dyDescent="0.2">
      <c r="C25" s="211"/>
      <c r="D25" s="351"/>
      <c r="G25" s="209"/>
      <c r="H25" s="209"/>
      <c r="I25" s="209"/>
      <c r="J25" s="209"/>
      <c r="K25" s="209"/>
      <c r="L25" s="209"/>
      <c r="M25" s="209"/>
      <c r="N25" s="209"/>
    </row>
    <row r="26" spans="3:14" x14ac:dyDescent="0.2">
      <c r="C26" s="85"/>
      <c r="D26" s="344"/>
      <c r="G26" s="84"/>
      <c r="H26" s="84"/>
      <c r="I26" s="84"/>
      <c r="J26" s="84"/>
      <c r="K26" s="84"/>
      <c r="L26" s="84"/>
      <c r="M26" s="84"/>
      <c r="N26" s="84"/>
    </row>
    <row r="27" spans="3:14" x14ac:dyDescent="0.2">
      <c r="C27" s="24"/>
      <c r="D27" s="402" t="s">
        <v>39</v>
      </c>
      <c r="G27" s="209"/>
      <c r="H27" s="209"/>
      <c r="I27" s="209"/>
      <c r="J27" s="209"/>
      <c r="K27" s="209"/>
      <c r="L27" s="209"/>
      <c r="M27" s="209"/>
      <c r="N27" s="209"/>
    </row>
    <row r="28" spans="3:14" x14ac:dyDescent="0.2">
      <c r="C28" s="85"/>
      <c r="D28" s="351"/>
      <c r="G28" s="209"/>
      <c r="H28" s="209"/>
      <c r="I28" s="209"/>
      <c r="J28" s="209"/>
      <c r="K28" s="209"/>
      <c r="L28" s="209"/>
      <c r="M28" s="209"/>
      <c r="N28" s="209"/>
    </row>
    <row r="29" spans="3:14" x14ac:dyDescent="0.2">
      <c r="C29" s="85"/>
      <c r="D29" s="351" t="s">
        <v>60</v>
      </c>
      <c r="G29" s="209"/>
      <c r="H29" s="209"/>
      <c r="I29" s="209"/>
      <c r="J29" s="209"/>
      <c r="K29" s="209"/>
      <c r="L29" s="209"/>
      <c r="M29" s="209"/>
      <c r="N29" s="209"/>
    </row>
    <row r="30" spans="3:14" x14ac:dyDescent="0.2">
      <c r="C30" s="85"/>
      <c r="D30" s="333" t="s">
        <v>20</v>
      </c>
      <c r="G30" s="209">
        <v>1944353</v>
      </c>
      <c r="H30" s="209">
        <f t="shared" ref="H30:H41" si="5">+G30*1.1</f>
        <v>2138788.3000000003</v>
      </c>
      <c r="I30" s="209">
        <f t="shared" ref="I30" si="6">+G30*0.7</f>
        <v>1361047.0999999999</v>
      </c>
      <c r="J30" s="209">
        <f t="shared" ref="J30" si="7">+G30*1.05</f>
        <v>2041570.6500000001</v>
      </c>
      <c r="K30" s="209">
        <f t="shared" ref="K30" si="8">+G30*0.65</f>
        <v>1263829.45</v>
      </c>
      <c r="L30" s="209">
        <f t="shared" ref="L30" si="9">+G30*0.95</f>
        <v>1847135.3499999999</v>
      </c>
      <c r="M30" s="209">
        <f t="shared" ref="M30" si="10">+G30*0.68</f>
        <v>1322160.04</v>
      </c>
      <c r="N30" s="209">
        <f t="shared" ref="N30" si="11">+G30*0.4</f>
        <v>777741.20000000007</v>
      </c>
    </row>
    <row r="31" spans="3:14" x14ac:dyDescent="0.2">
      <c r="C31" s="792" t="s">
        <v>66</v>
      </c>
      <c r="D31" s="792"/>
      <c r="G31" s="209">
        <v>940212</v>
      </c>
      <c r="H31" s="209">
        <f t="shared" si="5"/>
        <v>1034233.2000000001</v>
      </c>
      <c r="I31" s="209">
        <f t="shared" ref="I31:I41" si="12">+G31*0.7</f>
        <v>658148.39999999991</v>
      </c>
      <c r="J31" s="209">
        <f t="shared" ref="J31:J41" si="13">+G31*1.05</f>
        <v>987222.60000000009</v>
      </c>
      <c r="K31" s="209">
        <f t="shared" ref="K31:K41" si="14">+G31*0.65</f>
        <v>611137.80000000005</v>
      </c>
      <c r="L31" s="209">
        <f t="shared" ref="L31:L41" si="15">+G31*0.95</f>
        <v>893201.39999999991</v>
      </c>
      <c r="M31" s="209">
        <f t="shared" ref="M31:M41" si="16">+G31*0.68</f>
        <v>639344.16</v>
      </c>
      <c r="N31" s="209">
        <f t="shared" ref="N31:N41" si="17">+G31*0.4</f>
        <v>376084.80000000005</v>
      </c>
    </row>
    <row r="32" spans="3:14" x14ac:dyDescent="0.2">
      <c r="C32" s="85"/>
      <c r="D32" s="333" t="s">
        <v>21</v>
      </c>
      <c r="G32" s="209">
        <v>757443</v>
      </c>
      <c r="H32" s="552">
        <v>624651</v>
      </c>
      <c r="I32" s="552">
        <v>466300</v>
      </c>
      <c r="J32" s="551">
        <f t="shared" si="13"/>
        <v>795315.15</v>
      </c>
      <c r="K32" s="552">
        <v>346110</v>
      </c>
      <c r="L32" s="552">
        <v>410807</v>
      </c>
      <c r="M32" s="552">
        <v>332277</v>
      </c>
      <c r="N32" s="553">
        <v>308000</v>
      </c>
    </row>
    <row r="33" spans="3:14" x14ac:dyDescent="0.2">
      <c r="C33" s="85"/>
      <c r="D33" s="333" t="s">
        <v>22</v>
      </c>
      <c r="G33" s="209">
        <v>868518</v>
      </c>
      <c r="H33" s="209">
        <f t="shared" si="5"/>
        <v>955369.8</v>
      </c>
      <c r="I33" s="209">
        <f t="shared" si="12"/>
        <v>607962.6</v>
      </c>
      <c r="J33" s="209">
        <f t="shared" si="13"/>
        <v>911943.9</v>
      </c>
      <c r="K33" s="209">
        <f t="shared" si="14"/>
        <v>564536.70000000007</v>
      </c>
      <c r="L33" s="209">
        <f t="shared" si="15"/>
        <v>825092.1</v>
      </c>
      <c r="M33" s="209">
        <f t="shared" si="16"/>
        <v>590592.24</v>
      </c>
      <c r="N33" s="209">
        <f t="shared" si="17"/>
        <v>347407.2</v>
      </c>
    </row>
    <row r="34" spans="3:14" x14ac:dyDescent="0.2">
      <c r="C34" s="85"/>
      <c r="D34" s="366" t="s">
        <v>23</v>
      </c>
      <c r="G34" s="209">
        <f>+Prestaciones!D8*5</f>
        <v>2061210</v>
      </c>
      <c r="H34" s="209">
        <f t="shared" si="5"/>
        <v>2267331</v>
      </c>
      <c r="I34" s="209">
        <f t="shared" si="12"/>
        <v>1442847</v>
      </c>
      <c r="J34" s="209">
        <f t="shared" si="13"/>
        <v>2164270.5</v>
      </c>
      <c r="K34" s="209">
        <f t="shared" si="14"/>
        <v>1339786.5</v>
      </c>
      <c r="L34" s="209">
        <f t="shared" si="15"/>
        <v>1958149.5</v>
      </c>
      <c r="M34" s="209">
        <f t="shared" si="16"/>
        <v>1401622.8</v>
      </c>
      <c r="N34" s="209">
        <f t="shared" si="17"/>
        <v>824484</v>
      </c>
    </row>
    <row r="35" spans="3:14" x14ac:dyDescent="0.2">
      <c r="C35" s="85"/>
      <c r="D35" s="333" t="s">
        <v>24</v>
      </c>
      <c r="G35" s="209">
        <v>1790870</v>
      </c>
      <c r="H35" s="209">
        <f t="shared" si="5"/>
        <v>1969957.0000000002</v>
      </c>
      <c r="I35" s="209">
        <f t="shared" si="12"/>
        <v>1253609</v>
      </c>
      <c r="J35" s="209">
        <f t="shared" si="13"/>
        <v>1880413.5</v>
      </c>
      <c r="K35" s="209">
        <f t="shared" si="14"/>
        <v>1164065.5</v>
      </c>
      <c r="L35" s="209">
        <f t="shared" si="15"/>
        <v>1701326.5</v>
      </c>
      <c r="M35" s="209">
        <f t="shared" si="16"/>
        <v>1217791.6000000001</v>
      </c>
      <c r="N35" s="209">
        <f t="shared" si="17"/>
        <v>716348</v>
      </c>
    </row>
    <row r="36" spans="3:14" x14ac:dyDescent="0.2">
      <c r="C36" s="85"/>
      <c r="D36" s="333" t="s">
        <v>25</v>
      </c>
      <c r="G36" s="209">
        <v>2843000</v>
      </c>
      <c r="H36" s="209">
        <f t="shared" si="5"/>
        <v>3127300.0000000005</v>
      </c>
      <c r="I36" s="209">
        <f t="shared" si="12"/>
        <v>1990099.9999999998</v>
      </c>
      <c r="J36" s="209">
        <f t="shared" si="13"/>
        <v>2985150</v>
      </c>
      <c r="K36" s="209">
        <f t="shared" si="14"/>
        <v>1847950</v>
      </c>
      <c r="L36" s="209">
        <f t="shared" si="15"/>
        <v>2700850</v>
      </c>
      <c r="M36" s="209">
        <f t="shared" si="16"/>
        <v>1933240.0000000002</v>
      </c>
      <c r="N36" s="209">
        <f t="shared" si="17"/>
        <v>1137200</v>
      </c>
    </row>
    <row r="37" spans="3:14" x14ac:dyDescent="0.2">
      <c r="C37" s="85"/>
      <c r="D37" s="333" t="s">
        <v>26</v>
      </c>
      <c r="G37" s="209">
        <v>705440</v>
      </c>
      <c r="H37" s="209">
        <f t="shared" si="5"/>
        <v>775984.00000000012</v>
      </c>
      <c r="I37" s="209">
        <f t="shared" si="12"/>
        <v>493807.99999999994</v>
      </c>
      <c r="J37" s="209">
        <f t="shared" si="13"/>
        <v>740712</v>
      </c>
      <c r="K37" s="209">
        <f t="shared" si="14"/>
        <v>458536</v>
      </c>
      <c r="L37" s="209">
        <f t="shared" si="15"/>
        <v>670168</v>
      </c>
      <c r="M37" s="209">
        <f t="shared" si="16"/>
        <v>479699.20000000001</v>
      </c>
      <c r="N37" s="209">
        <f t="shared" si="17"/>
        <v>282176</v>
      </c>
    </row>
    <row r="38" spans="3:14" x14ac:dyDescent="0.2">
      <c r="C38" s="85"/>
      <c r="D38" s="333" t="s">
        <v>27</v>
      </c>
      <c r="G38" s="209">
        <v>345770</v>
      </c>
      <c r="H38" s="209">
        <f t="shared" si="5"/>
        <v>380347.00000000006</v>
      </c>
      <c r="I38" s="209">
        <f t="shared" si="12"/>
        <v>242038.99999999997</v>
      </c>
      <c r="J38" s="209">
        <f t="shared" si="13"/>
        <v>363058.5</v>
      </c>
      <c r="K38" s="209">
        <f t="shared" si="14"/>
        <v>224750.5</v>
      </c>
      <c r="L38" s="209">
        <f t="shared" si="15"/>
        <v>328481.5</v>
      </c>
      <c r="M38" s="209">
        <f t="shared" si="16"/>
        <v>235123.6</v>
      </c>
      <c r="N38" s="209">
        <f t="shared" si="17"/>
        <v>138308</v>
      </c>
    </row>
    <row r="39" spans="3:14" x14ac:dyDescent="0.2">
      <c r="C39" s="85"/>
      <c r="D39" s="333" t="s">
        <v>28</v>
      </c>
      <c r="G39" s="209">
        <v>1022154</v>
      </c>
      <c r="H39" s="209">
        <f t="shared" si="5"/>
        <v>1124369.4000000001</v>
      </c>
      <c r="I39" s="209">
        <f t="shared" si="12"/>
        <v>715507.79999999993</v>
      </c>
      <c r="J39" s="209">
        <f t="shared" si="13"/>
        <v>1073261.7</v>
      </c>
      <c r="K39" s="209">
        <f t="shared" si="14"/>
        <v>664400.1</v>
      </c>
      <c r="L39" s="209">
        <f t="shared" si="15"/>
        <v>971046.29999999993</v>
      </c>
      <c r="M39" s="209">
        <f t="shared" si="16"/>
        <v>695064.72000000009</v>
      </c>
      <c r="N39" s="209">
        <f t="shared" si="17"/>
        <v>408861.60000000003</v>
      </c>
    </row>
    <row r="40" spans="3:14" x14ac:dyDescent="0.2">
      <c r="C40" s="792" t="s">
        <v>67</v>
      </c>
      <c r="D40" s="792"/>
      <c r="G40" s="209">
        <v>8326000</v>
      </c>
      <c r="H40" s="209">
        <f t="shared" si="5"/>
        <v>9158600</v>
      </c>
      <c r="I40" s="209">
        <f t="shared" si="12"/>
        <v>5828200</v>
      </c>
      <c r="J40" s="209">
        <f t="shared" si="13"/>
        <v>8742300</v>
      </c>
      <c r="K40" s="209">
        <f t="shared" si="14"/>
        <v>5411900</v>
      </c>
      <c r="L40" s="209">
        <f t="shared" si="15"/>
        <v>7909700</v>
      </c>
      <c r="M40" s="209">
        <f t="shared" si="16"/>
        <v>5661680</v>
      </c>
      <c r="N40" s="209">
        <f t="shared" si="17"/>
        <v>3330400</v>
      </c>
    </row>
    <row r="41" spans="3:14" x14ac:dyDescent="0.2">
      <c r="C41" s="85"/>
      <c r="D41" s="333" t="s">
        <v>29</v>
      </c>
      <c r="G41" s="209">
        <v>1200000</v>
      </c>
      <c r="H41" s="209">
        <f t="shared" si="5"/>
        <v>1320000</v>
      </c>
      <c r="I41" s="209">
        <f t="shared" si="12"/>
        <v>840000</v>
      </c>
      <c r="J41" s="209">
        <f t="shared" si="13"/>
        <v>1260000</v>
      </c>
      <c r="K41" s="209">
        <f t="shared" si="14"/>
        <v>780000</v>
      </c>
      <c r="L41" s="209">
        <f t="shared" si="15"/>
        <v>1140000</v>
      </c>
      <c r="M41" s="209">
        <f t="shared" si="16"/>
        <v>816000.00000000012</v>
      </c>
      <c r="N41" s="209">
        <f t="shared" si="17"/>
        <v>480000</v>
      </c>
    </row>
    <row r="42" spans="3:14" x14ac:dyDescent="0.2">
      <c r="C42" s="85"/>
      <c r="D42" s="351" t="s">
        <v>5</v>
      </c>
      <c r="G42" s="209">
        <f>SUM(G30:G41)</f>
        <v>22804970</v>
      </c>
      <c r="H42" s="209">
        <f>SUM(H30:H41)</f>
        <v>24876930.700000003</v>
      </c>
      <c r="I42" s="209">
        <f t="shared" ref="I42:N42" si="18">SUM(I30:I41)</f>
        <v>15899568.9</v>
      </c>
      <c r="J42" s="209">
        <f t="shared" si="18"/>
        <v>23945218.5</v>
      </c>
      <c r="K42" s="209">
        <f t="shared" si="18"/>
        <v>14677002.550000001</v>
      </c>
      <c r="L42" s="209">
        <f t="shared" si="18"/>
        <v>21355957.649999999</v>
      </c>
      <c r="M42" s="209">
        <f t="shared" si="18"/>
        <v>15324595.359999999</v>
      </c>
      <c r="N42" s="209">
        <f t="shared" si="18"/>
        <v>9127010.8000000007</v>
      </c>
    </row>
    <row r="43" spans="3:14" x14ac:dyDescent="0.2">
      <c r="C43" s="85"/>
      <c r="D43" s="351" t="s">
        <v>77</v>
      </c>
      <c r="G43" s="209"/>
      <c r="H43" s="209"/>
      <c r="I43" s="209"/>
      <c r="J43" s="209"/>
      <c r="K43" s="209"/>
      <c r="L43" s="209"/>
      <c r="M43" s="209"/>
      <c r="N43" s="209"/>
    </row>
    <row r="44" spans="3:14" x14ac:dyDescent="0.2">
      <c r="C44" s="85"/>
      <c r="D44" s="333"/>
      <c r="G44" s="209"/>
      <c r="H44" s="209"/>
      <c r="I44" s="209"/>
      <c r="J44" s="209"/>
      <c r="K44" s="209"/>
      <c r="L44" s="209"/>
      <c r="M44" s="209"/>
      <c r="N44" s="209"/>
    </row>
    <row r="45" spans="3:14" x14ac:dyDescent="0.2">
      <c r="C45" s="85"/>
      <c r="D45" s="351" t="s">
        <v>61</v>
      </c>
      <c r="G45" s="209"/>
      <c r="H45" s="209"/>
      <c r="I45" s="209"/>
      <c r="J45" s="209"/>
      <c r="K45" s="209"/>
      <c r="L45" s="209"/>
      <c r="M45" s="209"/>
      <c r="N45" s="209"/>
    </row>
    <row r="46" spans="3:14" x14ac:dyDescent="0.2">
      <c r="C46" s="370"/>
      <c r="D46" s="333" t="s">
        <v>30</v>
      </c>
      <c r="G46" s="209">
        <f>2014100*1.18</f>
        <v>2376638</v>
      </c>
      <c r="H46" s="209">
        <f t="shared" ref="H46:H54" si="19">+G46*1.1</f>
        <v>2614301.8000000003</v>
      </c>
      <c r="I46" s="209">
        <f t="shared" ref="I46" si="20">+G46*0.7</f>
        <v>1663646.5999999999</v>
      </c>
      <c r="J46" s="209">
        <f t="shared" ref="J46" si="21">+G46*1.05</f>
        <v>2495469.9</v>
      </c>
      <c r="K46" s="209">
        <f t="shared" ref="K46" si="22">+G46*0.65</f>
        <v>1544814.7</v>
      </c>
      <c r="L46" s="209">
        <f t="shared" ref="L46" si="23">+G46*0.95</f>
        <v>2257806.1</v>
      </c>
      <c r="M46" s="209">
        <f t="shared" ref="M46" si="24">+G46*0.68</f>
        <v>1616113.84</v>
      </c>
      <c r="N46" s="209">
        <f t="shared" ref="N46" si="25">+G46*0.4</f>
        <v>950655.20000000007</v>
      </c>
    </row>
    <row r="47" spans="3:14" x14ac:dyDescent="0.2">
      <c r="C47" s="370"/>
      <c r="D47" s="425" t="s">
        <v>31</v>
      </c>
      <c r="G47" s="209">
        <f>805640*1.18</f>
        <v>950655.2</v>
      </c>
      <c r="H47" s="209">
        <f t="shared" si="19"/>
        <v>1045720.7200000001</v>
      </c>
      <c r="I47" s="209">
        <f t="shared" ref="I47:I54" si="26">+G47*0.7</f>
        <v>665458.6399999999</v>
      </c>
      <c r="J47" s="209">
        <f t="shared" ref="J47:J54" si="27">+G47*1.05</f>
        <v>998187.96</v>
      </c>
      <c r="K47" s="209">
        <f t="shared" ref="K47:K54" si="28">+G47*0.65</f>
        <v>617925.88</v>
      </c>
      <c r="L47" s="209">
        <f t="shared" ref="L47:L54" si="29">+G47*0.95</f>
        <v>903122.44</v>
      </c>
      <c r="M47" s="209">
        <f t="shared" ref="M47:M54" si="30">+G47*0.68</f>
        <v>646445.53599999996</v>
      </c>
      <c r="N47" s="209">
        <f t="shared" ref="N47:N54" si="31">+G47*0.4</f>
        <v>380262.08</v>
      </c>
    </row>
    <row r="48" spans="3:14" x14ac:dyDescent="0.2">
      <c r="C48" s="370"/>
      <c r="D48" s="333" t="s">
        <v>32</v>
      </c>
      <c r="G48" s="209">
        <f>503325*1.18</f>
        <v>593923.5</v>
      </c>
      <c r="H48" s="209">
        <f t="shared" si="19"/>
        <v>653315.85000000009</v>
      </c>
      <c r="I48" s="209">
        <f t="shared" si="26"/>
        <v>415746.44999999995</v>
      </c>
      <c r="J48" s="209">
        <f t="shared" si="27"/>
        <v>623619.67500000005</v>
      </c>
      <c r="K48" s="209">
        <f t="shared" si="28"/>
        <v>386050.27500000002</v>
      </c>
      <c r="L48" s="209">
        <f t="shared" si="29"/>
        <v>564227.32499999995</v>
      </c>
      <c r="M48" s="209">
        <f t="shared" si="30"/>
        <v>403867.98000000004</v>
      </c>
      <c r="N48" s="209">
        <f t="shared" si="31"/>
        <v>237569.40000000002</v>
      </c>
    </row>
    <row r="49" spans="3:14" x14ac:dyDescent="0.2">
      <c r="C49" s="370"/>
      <c r="D49" s="333" t="s">
        <v>33</v>
      </c>
      <c r="G49" s="209">
        <f>402820*1.18</f>
        <v>475327.6</v>
      </c>
      <c r="H49" s="209">
        <f t="shared" si="19"/>
        <v>522860.36000000004</v>
      </c>
      <c r="I49" s="209">
        <f t="shared" si="26"/>
        <v>332729.31999999995</v>
      </c>
      <c r="J49" s="209">
        <f t="shared" si="27"/>
        <v>499093.98</v>
      </c>
      <c r="K49" s="209">
        <f t="shared" si="28"/>
        <v>308962.94</v>
      </c>
      <c r="L49" s="209">
        <f t="shared" si="29"/>
        <v>451561.22</v>
      </c>
      <c r="M49" s="209">
        <f t="shared" si="30"/>
        <v>323222.76799999998</v>
      </c>
      <c r="N49" s="209">
        <f t="shared" si="31"/>
        <v>190131.04</v>
      </c>
    </row>
    <row r="50" spans="3:14" x14ac:dyDescent="0.2">
      <c r="C50" s="370"/>
      <c r="D50" s="333" t="s">
        <v>34</v>
      </c>
      <c r="G50" s="209">
        <f>402820*1.18</f>
        <v>475327.6</v>
      </c>
      <c r="H50" s="209">
        <f t="shared" si="19"/>
        <v>522860.36000000004</v>
      </c>
      <c r="I50" s="209">
        <f t="shared" si="26"/>
        <v>332729.31999999995</v>
      </c>
      <c r="J50" s="209">
        <f t="shared" si="27"/>
        <v>499093.98</v>
      </c>
      <c r="K50" s="209">
        <f t="shared" si="28"/>
        <v>308962.94</v>
      </c>
      <c r="L50" s="209">
        <f t="shared" si="29"/>
        <v>451561.22</v>
      </c>
      <c r="M50" s="209">
        <f t="shared" si="30"/>
        <v>323222.76799999998</v>
      </c>
      <c r="N50" s="209">
        <f t="shared" si="31"/>
        <v>190131.04</v>
      </c>
    </row>
    <row r="51" spans="3:14" x14ac:dyDescent="0.2">
      <c r="C51" s="370"/>
      <c r="D51" s="333" t="s">
        <v>35</v>
      </c>
      <c r="G51" s="209">
        <f>402820*1.18</f>
        <v>475327.6</v>
      </c>
      <c r="H51" s="209">
        <f t="shared" si="19"/>
        <v>522860.36000000004</v>
      </c>
      <c r="I51" s="209">
        <f t="shared" si="26"/>
        <v>332729.31999999995</v>
      </c>
      <c r="J51" s="209">
        <f t="shared" si="27"/>
        <v>499093.98</v>
      </c>
      <c r="K51" s="209">
        <f t="shared" si="28"/>
        <v>308962.94</v>
      </c>
      <c r="L51" s="209">
        <f t="shared" si="29"/>
        <v>451561.22</v>
      </c>
      <c r="M51" s="209">
        <f t="shared" si="30"/>
        <v>323222.76799999998</v>
      </c>
      <c r="N51" s="209">
        <f t="shared" si="31"/>
        <v>190131.04</v>
      </c>
    </row>
    <row r="52" spans="3:14" x14ac:dyDescent="0.2">
      <c r="C52" s="370"/>
      <c r="D52" s="333" t="s">
        <v>36</v>
      </c>
      <c r="G52" s="209">
        <f>503325*1.18</f>
        <v>593923.5</v>
      </c>
      <c r="H52" s="209">
        <f t="shared" si="19"/>
        <v>653315.85000000009</v>
      </c>
      <c r="I52" s="209">
        <f t="shared" si="26"/>
        <v>415746.44999999995</v>
      </c>
      <c r="J52" s="209">
        <f t="shared" si="27"/>
        <v>623619.67500000005</v>
      </c>
      <c r="K52" s="209">
        <f t="shared" si="28"/>
        <v>386050.27500000002</v>
      </c>
      <c r="L52" s="209">
        <f t="shared" si="29"/>
        <v>564227.32499999995</v>
      </c>
      <c r="M52" s="209">
        <f t="shared" si="30"/>
        <v>403867.98000000004</v>
      </c>
      <c r="N52" s="209">
        <f t="shared" si="31"/>
        <v>237569.40000000002</v>
      </c>
    </row>
    <row r="53" spans="3:14" x14ac:dyDescent="0.2">
      <c r="C53" s="370"/>
      <c r="D53" s="333" t="s">
        <v>37</v>
      </c>
      <c r="G53" s="209">
        <f>201410*1.18</f>
        <v>237663.8</v>
      </c>
      <c r="H53" s="209">
        <f t="shared" si="19"/>
        <v>261430.18000000002</v>
      </c>
      <c r="I53" s="209">
        <f t="shared" si="26"/>
        <v>166364.65999999997</v>
      </c>
      <c r="J53" s="209">
        <f t="shared" si="27"/>
        <v>249546.99</v>
      </c>
      <c r="K53" s="209">
        <f t="shared" si="28"/>
        <v>154481.47</v>
      </c>
      <c r="L53" s="209">
        <f t="shared" si="29"/>
        <v>225780.61</v>
      </c>
      <c r="M53" s="209">
        <f t="shared" si="30"/>
        <v>161611.38399999999</v>
      </c>
      <c r="N53" s="209">
        <f t="shared" si="31"/>
        <v>95065.52</v>
      </c>
    </row>
    <row r="54" spans="3:14" x14ac:dyDescent="0.2">
      <c r="C54" s="370"/>
      <c r="D54" s="333" t="s">
        <v>38</v>
      </c>
      <c r="G54" s="209">
        <f>995030*1.18</f>
        <v>1174135.3999999999</v>
      </c>
      <c r="H54" s="209">
        <f t="shared" si="19"/>
        <v>1291548.94</v>
      </c>
      <c r="I54" s="209">
        <f t="shared" si="26"/>
        <v>821894.77999999991</v>
      </c>
      <c r="J54" s="209">
        <f t="shared" si="27"/>
        <v>1232842.17</v>
      </c>
      <c r="K54" s="209">
        <f t="shared" si="28"/>
        <v>763188.01</v>
      </c>
      <c r="L54" s="209">
        <f t="shared" si="29"/>
        <v>1115428.6299999999</v>
      </c>
      <c r="M54" s="209">
        <f t="shared" si="30"/>
        <v>798412.07200000004</v>
      </c>
      <c r="N54" s="209">
        <f t="shared" si="31"/>
        <v>469654.16</v>
      </c>
    </row>
    <row r="55" spans="3:14" x14ac:dyDescent="0.2">
      <c r="C55" s="85"/>
      <c r="D55" s="351" t="s">
        <v>5</v>
      </c>
      <c r="G55" s="209">
        <f>SUM(G46:G54)</f>
        <v>7352922.1999999993</v>
      </c>
      <c r="H55" s="209">
        <f>SUM(H46:H54)</f>
        <v>8088214.4200000018</v>
      </c>
      <c r="I55" s="209">
        <f t="shared" ref="I55:N55" si="32">SUM(I46:I54)</f>
        <v>5147045.5399999991</v>
      </c>
      <c r="J55" s="209">
        <f t="shared" si="32"/>
        <v>7720568.3100000015</v>
      </c>
      <c r="K55" s="209">
        <f t="shared" si="32"/>
        <v>4779399.43</v>
      </c>
      <c r="L55" s="209">
        <f t="shared" si="32"/>
        <v>6985276.0899999999</v>
      </c>
      <c r="M55" s="209">
        <f t="shared" si="32"/>
        <v>4999987.0959999999</v>
      </c>
      <c r="N55" s="209">
        <f t="shared" si="32"/>
        <v>2941168.8800000004</v>
      </c>
    </row>
    <row r="56" spans="3:14" x14ac:dyDescent="0.2">
      <c r="C56" s="85"/>
      <c r="D56" s="351" t="s">
        <v>77</v>
      </c>
      <c r="G56" s="209"/>
      <c r="H56" s="209"/>
      <c r="I56" s="209"/>
      <c r="J56" s="209"/>
      <c r="K56" s="209"/>
      <c r="L56" s="209"/>
      <c r="M56" s="209"/>
      <c r="N56" s="209"/>
    </row>
    <row r="57" spans="3:14" x14ac:dyDescent="0.2">
      <c r="C57" s="85"/>
      <c r="D57" s="351"/>
      <c r="G57" s="209"/>
      <c r="H57" s="209"/>
      <c r="I57" s="209"/>
      <c r="J57" s="209"/>
      <c r="K57" s="209"/>
      <c r="L57" s="209"/>
      <c r="M57" s="209"/>
      <c r="N57" s="209"/>
    </row>
    <row r="58" spans="3:14" x14ac:dyDescent="0.2">
      <c r="C58" s="85"/>
      <c r="D58" s="351"/>
      <c r="G58" s="209"/>
      <c r="H58" s="209"/>
      <c r="I58" s="209"/>
      <c r="J58" s="209"/>
      <c r="K58" s="209"/>
      <c r="L58" s="209"/>
      <c r="M58" s="209"/>
      <c r="N58" s="209"/>
    </row>
    <row r="59" spans="3:14" x14ac:dyDescent="0.2">
      <c r="C59" s="85"/>
      <c r="D59" s="333"/>
      <c r="G59" s="209"/>
      <c r="H59" s="209"/>
      <c r="I59" s="209"/>
      <c r="J59" s="209"/>
      <c r="K59" s="209"/>
      <c r="L59" s="209"/>
      <c r="M59" s="209"/>
      <c r="N59" s="209"/>
    </row>
    <row r="60" spans="3:14" x14ac:dyDescent="0.2">
      <c r="C60" s="85"/>
      <c r="D60" s="85"/>
      <c r="G60" s="211"/>
      <c r="H60" s="211"/>
      <c r="I60" s="211"/>
      <c r="J60" s="211"/>
      <c r="K60" s="211"/>
      <c r="L60" s="211"/>
      <c r="M60" s="211"/>
      <c r="N60" s="211"/>
    </row>
    <row r="61" spans="3:14" x14ac:dyDescent="0.2">
      <c r="C61" s="85"/>
      <c r="D61" s="351" t="s">
        <v>447</v>
      </c>
      <c r="G61" s="209"/>
      <c r="H61" s="209"/>
      <c r="I61" s="209"/>
      <c r="J61" s="209"/>
      <c r="K61" s="209"/>
      <c r="L61" s="209"/>
      <c r="M61" s="209"/>
      <c r="N61" s="209"/>
    </row>
    <row r="62" spans="3:14" x14ac:dyDescent="0.2">
      <c r="C62" s="85"/>
      <c r="D62" s="333" t="s">
        <v>20</v>
      </c>
      <c r="G62" s="209">
        <v>671898</v>
      </c>
      <c r="H62" s="209">
        <f t="shared" ref="H62:H67" si="33">+G62*1.1</f>
        <v>739087.8</v>
      </c>
      <c r="I62" s="209">
        <f t="shared" ref="I62" si="34">+G62*0.7</f>
        <v>470328.6</v>
      </c>
      <c r="J62" s="209">
        <f t="shared" ref="J62" si="35">+G62*1.05</f>
        <v>705492.9</v>
      </c>
      <c r="K62" s="209">
        <f t="shared" ref="K62" si="36">+G62*0.65</f>
        <v>436733.7</v>
      </c>
      <c r="L62" s="209">
        <f t="shared" ref="L62" si="37">+G62*0.95</f>
        <v>638303.1</v>
      </c>
      <c r="M62" s="209">
        <f t="shared" ref="M62" si="38">+G62*0.68</f>
        <v>456890.64</v>
      </c>
      <c r="N62" s="209">
        <f t="shared" ref="N62" si="39">+G62*0.4</f>
        <v>268759.2</v>
      </c>
    </row>
    <row r="63" spans="3:14" x14ac:dyDescent="0.2">
      <c r="C63" s="85"/>
      <c r="D63" s="333" t="s">
        <v>40</v>
      </c>
      <c r="G63" s="209">
        <v>99794</v>
      </c>
      <c r="H63" s="209">
        <f t="shared" si="33"/>
        <v>109773.40000000001</v>
      </c>
      <c r="I63" s="209">
        <f t="shared" ref="I63:I67" si="40">+G63*0.7</f>
        <v>69855.799999999988</v>
      </c>
      <c r="J63" s="209">
        <f t="shared" ref="J63:J67" si="41">+G63*1.05</f>
        <v>104783.70000000001</v>
      </c>
      <c r="K63" s="209">
        <f t="shared" ref="K63:K67" si="42">+G63*0.65</f>
        <v>64866.100000000006</v>
      </c>
      <c r="L63" s="209">
        <f t="shared" ref="L63:L67" si="43">+G63*0.95</f>
        <v>94804.299999999988</v>
      </c>
      <c r="M63" s="209">
        <f t="shared" ref="M63:M67" si="44">+G63*0.68</f>
        <v>67859.92</v>
      </c>
      <c r="N63" s="209">
        <f t="shared" ref="N63:N67" si="45">+G63*0.4</f>
        <v>39917.600000000006</v>
      </c>
    </row>
    <row r="64" spans="3:14" x14ac:dyDescent="0.2">
      <c r="C64" s="85"/>
      <c r="D64" s="366" t="s">
        <v>41</v>
      </c>
      <c r="G64" s="209">
        <f>+Prestaciones!D8</f>
        <v>412242</v>
      </c>
      <c r="H64" s="552">
        <v>444036</v>
      </c>
      <c r="I64" s="552">
        <v>287800</v>
      </c>
      <c r="J64" s="551">
        <f t="shared" si="41"/>
        <v>432854.10000000003</v>
      </c>
      <c r="K64" s="552">
        <v>205910</v>
      </c>
      <c r="L64" s="552">
        <v>288040</v>
      </c>
      <c r="M64" s="552">
        <v>179985</v>
      </c>
      <c r="N64" s="553">
        <v>131824</v>
      </c>
    </row>
    <row r="65" spans="3:14" x14ac:dyDescent="0.2">
      <c r="C65" s="85"/>
      <c r="D65" s="333" t="s">
        <v>24</v>
      </c>
      <c r="G65" s="209">
        <v>171065</v>
      </c>
      <c r="H65" s="209">
        <f t="shared" si="33"/>
        <v>188171.50000000003</v>
      </c>
      <c r="I65" s="209">
        <f t="shared" si="40"/>
        <v>119745.49999999999</v>
      </c>
      <c r="J65" s="209">
        <f t="shared" si="41"/>
        <v>179618.25</v>
      </c>
      <c r="K65" s="209">
        <f t="shared" si="42"/>
        <v>111192.25</v>
      </c>
      <c r="L65" s="209">
        <f t="shared" si="43"/>
        <v>162511.75</v>
      </c>
      <c r="M65" s="209">
        <f t="shared" si="44"/>
        <v>116324.20000000001</v>
      </c>
      <c r="N65" s="209">
        <f t="shared" si="45"/>
        <v>68426</v>
      </c>
    </row>
    <row r="66" spans="3:14" x14ac:dyDescent="0.2">
      <c r="C66" s="85"/>
      <c r="D66" s="333" t="s">
        <v>25</v>
      </c>
      <c r="G66" s="209">
        <v>150657</v>
      </c>
      <c r="H66" s="209">
        <f t="shared" si="33"/>
        <v>165722.70000000001</v>
      </c>
      <c r="I66" s="209">
        <f t="shared" si="40"/>
        <v>105459.9</v>
      </c>
      <c r="J66" s="209">
        <f t="shared" si="41"/>
        <v>158189.85</v>
      </c>
      <c r="K66" s="209">
        <f t="shared" si="42"/>
        <v>97927.05</v>
      </c>
      <c r="L66" s="209">
        <f t="shared" si="43"/>
        <v>143124.15</v>
      </c>
      <c r="M66" s="209">
        <f t="shared" si="44"/>
        <v>102446.76000000001</v>
      </c>
      <c r="N66" s="209">
        <f t="shared" si="45"/>
        <v>60262.8</v>
      </c>
    </row>
    <row r="67" spans="3:14" x14ac:dyDescent="0.2">
      <c r="C67" s="85"/>
      <c r="D67" s="333" t="s">
        <v>42</v>
      </c>
      <c r="G67" s="209">
        <v>107387</v>
      </c>
      <c r="H67" s="209">
        <f t="shared" si="33"/>
        <v>118125.70000000001</v>
      </c>
      <c r="I67" s="209">
        <f t="shared" si="40"/>
        <v>75170.899999999994</v>
      </c>
      <c r="J67" s="209">
        <f t="shared" si="41"/>
        <v>112756.35</v>
      </c>
      <c r="K67" s="209">
        <f t="shared" si="42"/>
        <v>69801.55</v>
      </c>
      <c r="L67" s="209">
        <f t="shared" si="43"/>
        <v>102017.65</v>
      </c>
      <c r="M67" s="209">
        <f t="shared" si="44"/>
        <v>73023.16</v>
      </c>
      <c r="N67" s="209">
        <f t="shared" si="45"/>
        <v>42954.8</v>
      </c>
    </row>
    <row r="68" spans="3:14" x14ac:dyDescent="0.2">
      <c r="C68" s="85"/>
      <c r="D68" s="351" t="s">
        <v>5</v>
      </c>
      <c r="G68" s="209">
        <f>SUM(G62:G67)</f>
        <v>1613043</v>
      </c>
      <c r="H68" s="209">
        <f>SUM(H62:H67)</f>
        <v>1764917.1</v>
      </c>
      <c r="I68" s="209">
        <f t="shared" ref="I68:N68" si="46">SUM(I62:I67)</f>
        <v>1128360.6999999997</v>
      </c>
      <c r="J68" s="209">
        <f t="shared" si="46"/>
        <v>1693695.1500000004</v>
      </c>
      <c r="K68" s="209">
        <f t="shared" si="46"/>
        <v>986430.65000000014</v>
      </c>
      <c r="L68" s="209">
        <f t="shared" si="46"/>
        <v>1428800.9499999997</v>
      </c>
      <c r="M68" s="209">
        <f t="shared" si="46"/>
        <v>996529.68</v>
      </c>
      <c r="N68" s="209">
        <f t="shared" si="46"/>
        <v>612144.40000000014</v>
      </c>
    </row>
    <row r="69" spans="3:14" x14ac:dyDescent="0.2">
      <c r="C69" s="85"/>
      <c r="D69" s="351" t="s">
        <v>77</v>
      </c>
      <c r="G69" s="209"/>
      <c r="H69" s="209"/>
      <c r="I69" s="209"/>
      <c r="J69" s="209"/>
      <c r="K69" s="209"/>
      <c r="L69" s="209"/>
      <c r="M69" s="209"/>
      <c r="N69" s="209"/>
    </row>
    <row r="70" spans="3:14" x14ac:dyDescent="0.2">
      <c r="C70" s="85"/>
      <c r="D70" s="351"/>
      <c r="G70" s="209"/>
      <c r="H70" s="209"/>
      <c r="I70" s="209"/>
      <c r="J70" s="209"/>
      <c r="K70" s="209"/>
      <c r="L70" s="209"/>
      <c r="M70" s="209"/>
      <c r="N70" s="209"/>
    </row>
    <row r="71" spans="3:14" x14ac:dyDescent="0.2">
      <c r="C71" s="85"/>
      <c r="D71" s="351" t="s">
        <v>61</v>
      </c>
      <c r="G71" s="209"/>
      <c r="H71" s="209"/>
      <c r="I71" s="209"/>
      <c r="J71" s="209"/>
      <c r="K71" s="209"/>
      <c r="L71" s="209"/>
      <c r="M71" s="209"/>
      <c r="N71" s="209"/>
    </row>
    <row r="72" spans="3:14" x14ac:dyDescent="0.2">
      <c r="C72" s="370"/>
      <c r="D72" s="333" t="s">
        <v>30</v>
      </c>
      <c r="G72" s="209">
        <f>454530*1.18</f>
        <v>536345.4</v>
      </c>
      <c r="H72" s="209">
        <f t="shared" ref="H72:H75" si="47">+G72*1.1</f>
        <v>589979.94000000006</v>
      </c>
      <c r="I72" s="209">
        <f t="shared" ref="I72" si="48">+G72*0.7</f>
        <v>375441.77999999997</v>
      </c>
      <c r="J72" s="209">
        <f t="shared" ref="J72" si="49">+G72*1.05</f>
        <v>563162.67000000004</v>
      </c>
      <c r="K72" s="209">
        <f t="shared" ref="K72" si="50">+G72*0.65</f>
        <v>348624.51</v>
      </c>
      <c r="L72" s="209">
        <f t="shared" ref="L72" si="51">+G72*0.95</f>
        <v>509528.13</v>
      </c>
      <c r="M72" s="209">
        <f t="shared" ref="M72" si="52">+G72*0.68</f>
        <v>364714.87200000003</v>
      </c>
      <c r="N72" s="209">
        <f t="shared" ref="N72" si="53">+G72*0.4</f>
        <v>214538.16000000003</v>
      </c>
    </row>
    <row r="73" spans="3:14" x14ac:dyDescent="0.2">
      <c r="C73" s="370"/>
      <c r="D73" s="333" t="s">
        <v>43</v>
      </c>
      <c r="G73" s="209">
        <f>136359*1.18</f>
        <v>160903.62</v>
      </c>
      <c r="H73" s="209">
        <f t="shared" si="47"/>
        <v>176993.98200000002</v>
      </c>
      <c r="I73" s="209">
        <f t="shared" ref="I73:I75" si="54">+G73*0.7</f>
        <v>112632.53399999999</v>
      </c>
      <c r="J73" s="209">
        <f t="shared" ref="J73:J75" si="55">+G73*1.05</f>
        <v>168948.80100000001</v>
      </c>
      <c r="K73" s="209">
        <f t="shared" ref="K73:K75" si="56">+G73*0.65</f>
        <v>104587.353</v>
      </c>
      <c r="L73" s="209">
        <f t="shared" ref="L73:L75" si="57">+G73*0.95</f>
        <v>152858.43899999998</v>
      </c>
      <c r="M73" s="209">
        <f t="shared" ref="M73:M75" si="58">+G73*0.68</f>
        <v>109414.46160000001</v>
      </c>
      <c r="N73" s="209">
        <f t="shared" ref="N73:N75" si="59">+G73*0.4</f>
        <v>64361.448000000004</v>
      </c>
    </row>
    <row r="74" spans="3:14" x14ac:dyDescent="0.2">
      <c r="C74" s="370"/>
      <c r="D74" s="333" t="s">
        <v>44</v>
      </c>
      <c r="G74" s="209">
        <f>90906*1.18</f>
        <v>107269.07999999999</v>
      </c>
      <c r="H74" s="209">
        <f t="shared" si="47"/>
        <v>117995.988</v>
      </c>
      <c r="I74" s="209">
        <f t="shared" si="54"/>
        <v>75088.355999999985</v>
      </c>
      <c r="J74" s="209">
        <f t="shared" si="55"/>
        <v>112632.53399999999</v>
      </c>
      <c r="K74" s="209">
        <f t="shared" si="56"/>
        <v>69724.901999999987</v>
      </c>
      <c r="L74" s="209">
        <f t="shared" si="57"/>
        <v>101905.62599999999</v>
      </c>
      <c r="M74" s="209">
        <f t="shared" si="58"/>
        <v>72942.974399999992</v>
      </c>
      <c r="N74" s="209">
        <f t="shared" si="59"/>
        <v>42907.631999999998</v>
      </c>
    </row>
    <row r="75" spans="3:14" x14ac:dyDescent="0.2">
      <c r="C75" s="370"/>
      <c r="D75" s="333" t="s">
        <v>37</v>
      </c>
      <c r="G75" s="209">
        <f>45453*1.18</f>
        <v>53634.539999999994</v>
      </c>
      <c r="H75" s="209">
        <f t="shared" si="47"/>
        <v>58997.993999999999</v>
      </c>
      <c r="I75" s="209">
        <f t="shared" si="54"/>
        <v>37544.177999999993</v>
      </c>
      <c r="J75" s="209">
        <f t="shared" si="55"/>
        <v>56316.266999999993</v>
      </c>
      <c r="K75" s="209">
        <f t="shared" si="56"/>
        <v>34862.450999999994</v>
      </c>
      <c r="L75" s="209">
        <f t="shared" si="57"/>
        <v>50952.812999999995</v>
      </c>
      <c r="M75" s="209">
        <f t="shared" si="58"/>
        <v>36471.487199999996</v>
      </c>
      <c r="N75" s="209">
        <f t="shared" si="59"/>
        <v>21453.815999999999</v>
      </c>
    </row>
    <row r="76" spans="3:14" x14ac:dyDescent="0.2">
      <c r="C76" s="85"/>
      <c r="D76" s="351" t="s">
        <v>5</v>
      </c>
      <c r="G76" s="209">
        <f>SUM(G72:G75)</f>
        <v>858152.64</v>
      </c>
      <c r="H76" s="209">
        <f>SUM(H72:H75)</f>
        <v>943967.90399999998</v>
      </c>
      <c r="I76" s="209">
        <f t="shared" ref="I76:N76" si="60">SUM(I72:I75)</f>
        <v>600706.84799999988</v>
      </c>
      <c r="J76" s="209">
        <f t="shared" si="60"/>
        <v>901060.272</v>
      </c>
      <c r="K76" s="209">
        <f t="shared" si="60"/>
        <v>557799.21600000001</v>
      </c>
      <c r="L76" s="209">
        <f t="shared" si="60"/>
        <v>815245.00800000003</v>
      </c>
      <c r="M76" s="209">
        <f t="shared" si="60"/>
        <v>583543.79519999993</v>
      </c>
      <c r="N76" s="209">
        <f t="shared" si="60"/>
        <v>343261.05599999998</v>
      </c>
    </row>
    <row r="77" spans="3:14" x14ac:dyDescent="0.2">
      <c r="C77" s="85"/>
      <c r="D77" s="351" t="s">
        <v>77</v>
      </c>
      <c r="G77" s="209"/>
    </row>
    <row r="78" spans="3:14" x14ac:dyDescent="0.2">
      <c r="C78" s="85"/>
      <c r="D78" s="351"/>
      <c r="G78" s="450"/>
    </row>
    <row r="79" spans="3:14" x14ac:dyDescent="0.2">
      <c r="C79" s="85"/>
      <c r="D79" s="351" t="s">
        <v>484</v>
      </c>
      <c r="G79" s="450"/>
    </row>
    <row r="80" spans="3:14" x14ac:dyDescent="0.2">
      <c r="D80" s="555" t="s">
        <v>377</v>
      </c>
      <c r="G80" s="552">
        <v>5133000</v>
      </c>
      <c r="H80" s="552">
        <v>5133000</v>
      </c>
      <c r="I80" s="552">
        <v>2480641</v>
      </c>
      <c r="J80" s="556">
        <v>3636000</v>
      </c>
      <c r="K80" s="556">
        <v>1700000</v>
      </c>
      <c r="L80" s="556">
        <v>2393000</v>
      </c>
      <c r="M80" s="552">
        <v>1451140</v>
      </c>
      <c r="N80" s="556">
        <v>985045</v>
      </c>
    </row>
    <row r="81" spans="4:14" x14ac:dyDescent="0.2">
      <c r="D81" s="555" t="s">
        <v>110</v>
      </c>
      <c r="G81" s="552">
        <v>6682000</v>
      </c>
      <c r="H81" s="552">
        <v>7200000</v>
      </c>
      <c r="I81" s="552">
        <v>4200000</v>
      </c>
      <c r="J81" s="556">
        <v>4732000</v>
      </c>
      <c r="K81" s="556">
        <v>3734000</v>
      </c>
      <c r="L81" s="556">
        <v>3116000</v>
      </c>
      <c r="M81" s="552">
        <v>1854049</v>
      </c>
      <c r="N81" s="556">
        <v>985045</v>
      </c>
    </row>
    <row r="82" spans="4:14" x14ac:dyDescent="0.2">
      <c r="G82" s="450"/>
    </row>
    <row r="84" spans="4:14" x14ac:dyDescent="0.2">
      <c r="D84" s="555" t="s">
        <v>485</v>
      </c>
      <c r="G84" s="558" t="s">
        <v>338</v>
      </c>
      <c r="H84" s="558" t="s">
        <v>336</v>
      </c>
      <c r="I84" s="558" t="s">
        <v>185</v>
      </c>
      <c r="J84" s="558" t="s">
        <v>184</v>
      </c>
      <c r="K84" s="558" t="s">
        <v>337</v>
      </c>
      <c r="L84" s="558" t="s">
        <v>339</v>
      </c>
    </row>
    <row r="85" spans="4:14" x14ac:dyDescent="0.2">
      <c r="D85" s="555" t="s">
        <v>486</v>
      </c>
      <c r="G85" s="558" t="s">
        <v>201</v>
      </c>
      <c r="H85" s="558" t="s">
        <v>488</v>
      </c>
      <c r="I85" s="558" t="s">
        <v>488</v>
      </c>
      <c r="J85" s="558" t="s">
        <v>489</v>
      </c>
      <c r="K85" s="558" t="s">
        <v>490</v>
      </c>
      <c r="L85" s="558"/>
    </row>
    <row r="86" spans="4:14" x14ac:dyDescent="0.2">
      <c r="D86" s="555" t="s">
        <v>487</v>
      </c>
      <c r="G86" s="559">
        <v>0.6</v>
      </c>
      <c r="H86" s="559">
        <v>0.8</v>
      </c>
      <c r="I86" s="559">
        <v>0.8</v>
      </c>
      <c r="J86" s="558" t="s">
        <v>489</v>
      </c>
      <c r="K86" s="559">
        <v>0.6</v>
      </c>
      <c r="L86" s="560"/>
    </row>
    <row r="87" spans="4:14" x14ac:dyDescent="0.2">
      <c r="D87" s="555" t="s">
        <v>493</v>
      </c>
      <c r="F87" s="557"/>
      <c r="G87" s="558" t="s">
        <v>128</v>
      </c>
      <c r="H87" s="561">
        <v>800000</v>
      </c>
      <c r="I87" s="561">
        <v>600000</v>
      </c>
      <c r="J87" s="558" t="s">
        <v>489</v>
      </c>
      <c r="K87" s="558" t="s">
        <v>128</v>
      </c>
      <c r="L87" s="558"/>
    </row>
  </sheetData>
  <mergeCells count="2">
    <mergeCell ref="C31:D31"/>
    <mergeCell ref="C40:D40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7" sqref="I17"/>
    </sheetView>
  </sheetViews>
  <sheetFormatPr baseColWidth="10" defaultRowHeight="12.75" x14ac:dyDescent="0.2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2"/>
  <sheetViews>
    <sheetView workbookViewId="0">
      <selection activeCell="D29" sqref="D29"/>
    </sheetView>
  </sheetViews>
  <sheetFormatPr baseColWidth="10" defaultRowHeight="12.75" x14ac:dyDescent="0.2"/>
  <cols>
    <col min="3" max="3" width="20.28515625" customWidth="1"/>
    <col min="4" max="4" width="41" bestFit="1" customWidth="1"/>
  </cols>
  <sheetData>
    <row r="2" spans="2:15" x14ac:dyDescent="0.2">
      <c r="B2" s="783" t="str">
        <f>'Cartilla Universal'!B3</f>
        <v>CATEGORÍA</v>
      </c>
      <c r="C2" s="783" t="str">
        <f>'Cartilla Universal'!C3</f>
        <v>PRESTACIÓN</v>
      </c>
      <c r="D2" s="783" t="str">
        <f>'Cartilla Universal'!D3</f>
        <v>SERVICIO</v>
      </c>
      <c r="E2" s="784" t="s">
        <v>668</v>
      </c>
      <c r="F2" s="784" t="s">
        <v>669</v>
      </c>
      <c r="J2" s="224" t="s">
        <v>68</v>
      </c>
      <c r="K2">
        <f>'Datos Cliente'!C2</f>
        <v>26300</v>
      </c>
    </row>
    <row r="3" spans="2:15" x14ac:dyDescent="0.2">
      <c r="B3" s="783" t="str">
        <f>'Cartilla Universal'!B4</f>
        <v>HOSPITALARIA</v>
      </c>
      <c r="C3" s="783" t="str">
        <f>'Cartilla Universal'!C4</f>
        <v>PARTO NORMAL</v>
      </c>
      <c r="D3" s="783" t="str">
        <f>'Cartilla Universal'!D4</f>
        <v>Derecho de Pabellón 6 (D1)</v>
      </c>
      <c r="E3">
        <f>IF('Datos Cliente'!$G$7="Libre",'Cartilla Universal'!F4/100,IF('Cartilla Universal'!H4=0,'Cartilla Universal'!F4/100,'Cartilla Universal'!H4/100))</f>
        <v>0.25</v>
      </c>
      <c r="F3" s="789">
        <f>IF(IF('Datos Cliente'!$G$7="Libre",'Cartilla Universal'!G4,IF('Cartilla Universal'!I4=0,'Cartilla Universal'!G4,'Cartilla Universal'!I4))="SINTOPE",500,IF('Datos Cliente'!$G$7="Libre",'Cartilla Universal'!G4,IF('Cartilla Universal'!I4=0,'Cartilla Universal'!G4,'Cartilla Universal'!I4))/$K$2)</f>
        <v>500</v>
      </c>
      <c r="J3" t="s">
        <v>532</v>
      </c>
      <c r="K3" t="str">
        <f>'Datos Cliente'!C3</f>
        <v>Derco</v>
      </c>
      <c r="N3" t="s">
        <v>536</v>
      </c>
      <c r="O3" t="str">
        <f>IF('Datos Cliente'!G4="FONASA","Publico","Privado")</f>
        <v>Privado</v>
      </c>
    </row>
    <row r="4" spans="2:15" x14ac:dyDescent="0.2">
      <c r="B4" s="783" t="str">
        <f>'Cartilla Universal'!B5</f>
        <v>HOSPITALARIA</v>
      </c>
      <c r="C4" s="783" t="str">
        <f>'Cartilla Universal'!C5</f>
        <v>PARTO NORMAL</v>
      </c>
      <c r="D4" s="783" t="str">
        <f>'Cartilla Universal'!D5</f>
        <v>Honorarios Médicos</v>
      </c>
      <c r="E4">
        <f>IF('Datos Cliente'!$G$7="Libre",'Cartilla Universal'!F5/100,IF('Cartilla Universal'!H5=0,'Cartilla Universal'!F5/100,'Cartilla Universal'!H5/100))</f>
        <v>0.2</v>
      </c>
      <c r="F4" s="789">
        <f>IF(IF('Datos Cliente'!$G$7="Libre",'Cartilla Universal'!G5,IF('Cartilla Universal'!I5=0,'Cartilla Universal'!G5,'Cartilla Universal'!I5))="SINTOPE",500,IF('Datos Cliente'!$G$7="Libre",'Cartilla Universal'!G5,IF('Cartilla Universal'!I5=0,'Cartilla Universal'!G5,'Cartilla Universal'!I5))/$K$2)</f>
        <v>6.9321292775665402</v>
      </c>
      <c r="J4" t="s">
        <v>533</v>
      </c>
      <c r="K4" t="str">
        <f>'Datos Cliente'!C4</f>
        <v>Oscar Saenz Perez</v>
      </c>
      <c r="N4" t="s">
        <v>57</v>
      </c>
      <c r="O4" t="str">
        <f>'Datos Cliente'!G4</f>
        <v>CRUZ BLANCA</v>
      </c>
    </row>
    <row r="5" spans="2:15" x14ac:dyDescent="0.2">
      <c r="B5" s="783" t="str">
        <f>'Cartilla Universal'!B6</f>
        <v>HOSPITALARIA</v>
      </c>
      <c r="C5" s="783" t="str">
        <f>'Cartilla Universal'!C6</f>
        <v>PARTO NORMAL</v>
      </c>
      <c r="D5" s="783" t="str">
        <f>'Cartilla Universal'!D6</f>
        <v>Honorarios Matrona</v>
      </c>
      <c r="E5">
        <f>IF('Datos Cliente'!$G$7="Libre",'Cartilla Universal'!F6/100,IF('Cartilla Universal'!H6=0,'Cartilla Universal'!F6/100,'Cartilla Universal'!H6/100))</f>
        <v>0.2</v>
      </c>
      <c r="F5" s="789">
        <f>IF(IF('Datos Cliente'!$G$7="Libre",'Cartilla Universal'!G6,IF('Cartilla Universal'!I6=0,'Cartilla Universal'!G6,'Cartilla Universal'!I6))="SINTOPE",500,IF('Datos Cliente'!$G$7="Libre",'Cartilla Universal'!G6,IF('Cartilla Universal'!I6=0,'Cartilla Universal'!G6,'Cartilla Universal'!I6))/$K$2)</f>
        <v>2.0674904942965782</v>
      </c>
      <c r="J5" t="s">
        <v>534</v>
      </c>
      <c r="K5" t="str">
        <f>'Datos Cliente'!C5</f>
        <v>56 Años</v>
      </c>
      <c r="N5" t="s">
        <v>537</v>
      </c>
      <c r="O5" t="str">
        <f>'Datos Cliente'!G5</f>
        <v>Todo Familia D</v>
      </c>
    </row>
    <row r="6" spans="2:15" x14ac:dyDescent="0.2">
      <c r="B6" s="783" t="str">
        <f>'Cartilla Universal'!B7</f>
        <v>HOSPITALARIA</v>
      </c>
      <c r="C6" s="783" t="str">
        <f>'Cartilla Universal'!C7</f>
        <v>PARTO NORMAL</v>
      </c>
      <c r="D6" s="783" t="str">
        <f>'Cartilla Universal'!D7</f>
        <v>Atención Inmediata recién nacido</v>
      </c>
      <c r="E6">
        <f>IF('Datos Cliente'!$G$7="Libre",'Cartilla Universal'!F7/100,IF('Cartilla Universal'!H7=0,'Cartilla Universal'!F7/100,'Cartilla Universal'!H7/100))</f>
        <v>0.2</v>
      </c>
      <c r="F6" s="789">
        <f>IF(IF('Datos Cliente'!$G$7="Libre",'Cartilla Universal'!G7,IF('Cartilla Universal'!I7=0,'Cartilla Universal'!G7,'Cartilla Universal'!I7))="SINTOPE",500,IF('Datos Cliente'!$G$7="Libre",'Cartilla Universal'!G7,IF('Cartilla Universal'!I7=0,'Cartilla Universal'!G7,'Cartilla Universal'!I7))/$K$2)</f>
        <v>0.73418250950570341</v>
      </c>
      <c r="J6" t="s">
        <v>548</v>
      </c>
      <c r="N6" t="s">
        <v>559</v>
      </c>
      <c r="O6">
        <f>'Datos Cliente'!G6</f>
        <v>20.966200000000001</v>
      </c>
    </row>
    <row r="7" spans="2:15" x14ac:dyDescent="0.2">
      <c r="B7" s="783" t="str">
        <f>'Cartilla Universal'!B8</f>
        <v>HOSPITALARIA</v>
      </c>
      <c r="C7" s="783" t="str">
        <f>'Cartilla Universal'!C8</f>
        <v>PARTO NORMAL</v>
      </c>
      <c r="D7" s="783" t="str">
        <f>'Cartilla Universal'!D8</f>
        <v>Visita del Neonatólogo</v>
      </c>
      <c r="E7">
        <f>IF('Datos Cliente'!$G$7="Libre",'Cartilla Universal'!F8/100,IF('Cartilla Universal'!H8=0,'Cartilla Universal'!F8/100,'Cartilla Universal'!H8/100))</f>
        <v>0.2</v>
      </c>
      <c r="F7" s="789">
        <f>IF(IF('Datos Cliente'!$G$7="Libre",'Cartilla Universal'!G8,IF('Cartilla Universal'!I8=0,'Cartilla Universal'!G8,'Cartilla Universal'!I8))="SINTOPE",500,IF('Datos Cliente'!$G$7="Libre",'Cartilla Universal'!G8,IF('Cartilla Universal'!I8=0,'Cartilla Universal'!G8,'Cartilla Universal'!I8))/$K$2)</f>
        <v>0.26258555133079847</v>
      </c>
      <c r="N7" t="s">
        <v>558</v>
      </c>
      <c r="O7" t="str">
        <f>IF('Datos Cliente'!G7="Libre","Libre elección",'Datos Cliente'!G7)</f>
        <v>Libre elección</v>
      </c>
    </row>
    <row r="8" spans="2:15" x14ac:dyDescent="0.2">
      <c r="B8" s="783" t="str">
        <f>'Cartilla Universal'!B9</f>
        <v>HOSPITALARIA</v>
      </c>
      <c r="C8" s="783" t="str">
        <f>'Cartilla Universal'!C9</f>
        <v>PARTO POR CESAREA</v>
      </c>
      <c r="D8" s="783" t="str">
        <f>'Cartilla Universal'!D9</f>
        <v>Derecho de Pabellón 7 (D1)</v>
      </c>
      <c r="E8">
        <f>IF('Datos Cliente'!$G$7="Libre",'Cartilla Universal'!F9/100,IF('Cartilla Universal'!H9=0,'Cartilla Universal'!F9/100,'Cartilla Universal'!H9/100))</f>
        <v>0.25</v>
      </c>
      <c r="F8" s="789">
        <f>IF(IF('Datos Cliente'!$G$7="Libre",'Cartilla Universal'!G9,IF('Cartilla Universal'!I9=0,'Cartilla Universal'!G9,'Cartilla Universal'!I9))="SINTOPE",500,IF('Datos Cliente'!$G$7="Libre",'Cartilla Universal'!G9,IF('Cartilla Universal'!I9=0,'Cartilla Universal'!G9,'Cartilla Universal'!I9))/$K$2)</f>
        <v>500</v>
      </c>
      <c r="J8" t="s">
        <v>551</v>
      </c>
      <c r="K8" t="s">
        <v>55</v>
      </c>
      <c r="L8" t="s">
        <v>56</v>
      </c>
      <c r="N8" t="s">
        <v>540</v>
      </c>
      <c r="O8" t="str">
        <f>'Datos Cliente'!G8</f>
        <v>Clínica Alemana</v>
      </c>
    </row>
    <row r="9" spans="2:15" x14ac:dyDescent="0.2">
      <c r="B9" s="783" t="str">
        <f>'Cartilla Universal'!B10</f>
        <v>HOSPITALARIA</v>
      </c>
      <c r="C9" s="783" t="str">
        <f>'Cartilla Universal'!C10</f>
        <v>PARTO POR CESAREA</v>
      </c>
      <c r="D9" s="783" t="str">
        <f>'Cartilla Universal'!D10</f>
        <v>Honorarios Médicos</v>
      </c>
      <c r="E9">
        <f>IF('Datos Cliente'!$G$7="Libre",'Cartilla Universal'!F10/100,IF('Cartilla Universal'!H10=0,'Cartilla Universal'!F10/100,'Cartilla Universal'!H10/100))</f>
        <v>0.2</v>
      </c>
      <c r="F9" s="789">
        <f>IF(IF('Datos Cliente'!$G$7="Libre",'Cartilla Universal'!G10,IF('Cartilla Universal'!I10=0,'Cartilla Universal'!G10,'Cartilla Universal'!I10))="SINTOPE",500,IF('Datos Cliente'!$G$7="Libre",'Cartilla Universal'!G10,IF('Cartilla Universal'!I10=0,'Cartilla Universal'!G10,'Cartilla Universal'!I10))/$K$2)</f>
        <v>8.6285171102661593</v>
      </c>
      <c r="J9" t="s">
        <v>147</v>
      </c>
      <c r="K9" t="str">
        <f>'Datos Cliente'!C9</f>
        <v>M</v>
      </c>
      <c r="L9">
        <f>'Datos Cliente'!D9</f>
        <v>56</v>
      </c>
      <c r="N9" t="s">
        <v>557</v>
      </c>
      <c r="O9" t="str">
        <f>'Datos Cliente'!G9</f>
        <v>mayor 6 meses</v>
      </c>
    </row>
    <row r="10" spans="2:15" x14ac:dyDescent="0.2">
      <c r="B10" s="783" t="str">
        <f>'Cartilla Universal'!B11</f>
        <v>HOSPITALARIA</v>
      </c>
      <c r="C10" s="783" t="str">
        <f>'Cartilla Universal'!C11</f>
        <v>PARTO POR CESAREA</v>
      </c>
      <c r="D10" s="783" t="str">
        <f>'Cartilla Universal'!D11</f>
        <v>Honorarios Matrona</v>
      </c>
      <c r="E10">
        <f>IF('Datos Cliente'!$G$7="Libre",'Cartilla Universal'!F11/100,IF('Cartilla Universal'!H11=0,'Cartilla Universal'!F11/100,'Cartilla Universal'!H11/100))</f>
        <v>0.2</v>
      </c>
      <c r="F10" s="789">
        <f>IF(IF('Datos Cliente'!$G$7="Libre",'Cartilla Universal'!G11,IF('Cartilla Universal'!I11=0,'Cartilla Universal'!G11,'Cartilla Universal'!I11))="SINTOPE",500,IF('Datos Cliente'!$G$7="Libre",'Cartilla Universal'!G11,IF('Cartilla Universal'!I11=0,'Cartilla Universal'!G11,'Cartilla Universal'!I11))/$K$2)</f>
        <v>2.0674904942965782</v>
      </c>
      <c r="J10" t="s">
        <v>441</v>
      </c>
      <c r="K10" t="str">
        <f>'Datos Cliente'!C10</f>
        <v>F</v>
      </c>
      <c r="L10">
        <f>'Datos Cliente'!D10</f>
        <v>51</v>
      </c>
      <c r="N10" t="s">
        <v>538</v>
      </c>
      <c r="O10" t="str">
        <f>'Datos Cliente'!G10</f>
        <v>Si</v>
      </c>
    </row>
    <row r="11" spans="2:15" x14ac:dyDescent="0.2">
      <c r="B11" s="783" t="str">
        <f>'Cartilla Universal'!B12</f>
        <v>HOSPITALARIA</v>
      </c>
      <c r="C11" s="783" t="str">
        <f>'Cartilla Universal'!C12</f>
        <v>PARTO POR CESAREA</v>
      </c>
      <c r="D11" s="783" t="str">
        <f>'Cartilla Universal'!D12</f>
        <v>Atención Inmediata recién nacido</v>
      </c>
      <c r="E11">
        <f>IF('Datos Cliente'!$G$7="Libre",'Cartilla Universal'!F12/100,IF('Cartilla Universal'!H12=0,'Cartilla Universal'!F12/100,'Cartilla Universal'!H12/100))</f>
        <v>0.2</v>
      </c>
      <c r="F11" s="789">
        <f>IF(IF('Datos Cliente'!$G$7="Libre",'Cartilla Universal'!G12,IF('Cartilla Universal'!I12=0,'Cartilla Universal'!G12,'Cartilla Universal'!I12))="SINTOPE",500,IF('Datos Cliente'!$G$7="Libre",'Cartilla Universal'!G12,IF('Cartilla Universal'!I12=0,'Cartilla Universal'!G12,'Cartilla Universal'!I12))/$K$2)</f>
        <v>0.73418250950570341</v>
      </c>
      <c r="J11" t="s">
        <v>148</v>
      </c>
      <c r="K11" t="str">
        <f>'Datos Cliente'!C11</f>
        <v>F</v>
      </c>
      <c r="L11">
        <f>'Datos Cliente'!D11</f>
        <v>25</v>
      </c>
      <c r="N11" t="s">
        <v>539</v>
      </c>
      <c r="O11" t="str">
        <f>IF('Datos Cliente'!G10="Si",'Datos Cliente'!G11,"")</f>
        <v>Esofagitis</v>
      </c>
    </row>
    <row r="12" spans="2:15" x14ac:dyDescent="0.2">
      <c r="B12" s="783" t="str">
        <f>'Cartilla Universal'!B13</f>
        <v>HOSPITALARIA</v>
      </c>
      <c r="C12" s="783" t="str">
        <f>'Cartilla Universal'!C13</f>
        <v>PARTO POR CESAREA</v>
      </c>
      <c r="D12" s="783" t="str">
        <f>'Cartilla Universal'!D13</f>
        <v>Visita del Neonatólogo</v>
      </c>
      <c r="E12">
        <f>IF('Datos Cliente'!$G$7="Libre",'Cartilla Universal'!F13/100,IF('Cartilla Universal'!H13=0,'Cartilla Universal'!F13/100,'Cartilla Universal'!H13/100))</f>
        <v>0.2</v>
      </c>
      <c r="F12" s="789">
        <f>IF(IF('Datos Cliente'!$G$7="Libre",'Cartilla Universal'!G13,IF('Cartilla Universal'!I13=0,'Cartilla Universal'!G13,'Cartilla Universal'!I13))="SINTOPE",500,IF('Datos Cliente'!$G$7="Libre",'Cartilla Universal'!G13,IF('Cartilla Universal'!I13=0,'Cartilla Universal'!G13,'Cartilla Universal'!I13))/$K$2)</f>
        <v>0.26258555133079847</v>
      </c>
      <c r="J12" t="s">
        <v>444</v>
      </c>
      <c r="K12" t="str">
        <f>'Datos Cliente'!C12</f>
        <v>F</v>
      </c>
      <c r="L12">
        <f>'Datos Cliente'!D12</f>
        <v>20</v>
      </c>
      <c r="N12" t="s">
        <v>594</v>
      </c>
      <c r="O12" t="str">
        <f>IF('Datos Cliente'!G10="Si","Informe Medico Tratante","")</f>
        <v>Informe Medico Tratante</v>
      </c>
    </row>
    <row r="13" spans="2:15" x14ac:dyDescent="0.2">
      <c r="B13" s="783" t="str">
        <f>'Cartilla Universal'!B14</f>
        <v>HOSPITALARIA</v>
      </c>
      <c r="C13" s="783" t="str">
        <f>'Cartilla Universal'!C14</f>
        <v>APENDICE¶TOMIA</v>
      </c>
      <c r="D13" s="783" t="str">
        <f>'Cartilla Universal'!D14</f>
        <v>Derecho de Pabellón 7 (D)</v>
      </c>
      <c r="E13">
        <f>IF('Datos Cliente'!$G$7="Libre",'Cartilla Universal'!F14/100,IF('Cartilla Universal'!H14=0,'Cartilla Universal'!F14/100,'Cartilla Universal'!H14/100))</f>
        <v>1</v>
      </c>
      <c r="F13" s="789">
        <f>IF(IF('Datos Cliente'!$G$7="Libre",'Cartilla Universal'!G14,IF('Cartilla Universal'!I14=0,'Cartilla Universal'!G14,'Cartilla Universal'!I14))="SINTOPE",500,IF('Datos Cliente'!$G$7="Libre",'Cartilla Universal'!G14,IF('Cartilla Universal'!I14=0,'Cartilla Universal'!G14,'Cartilla Universal'!I14))/$K$2)</f>
        <v>500</v>
      </c>
      <c r="J13" t="s">
        <v>404</v>
      </c>
      <c r="K13" t="str">
        <f>'Datos Cliente'!C13</f>
        <v>-</v>
      </c>
      <c r="L13" t="str">
        <f>'Datos Cliente'!D13</f>
        <v>-</v>
      </c>
      <c r="N13" t="s">
        <v>595</v>
      </c>
    </row>
    <row r="14" spans="2:15" x14ac:dyDescent="0.2">
      <c r="B14" s="783" t="str">
        <f>'Cartilla Universal'!B15</f>
        <v>HOSPITALARIA</v>
      </c>
      <c r="C14" s="783" t="str">
        <f>'Cartilla Universal'!C15</f>
        <v>APENDICE¶TOMIA</v>
      </c>
      <c r="D14" s="783" t="str">
        <f>'Cartilla Universal'!D15</f>
        <v>Honorarios Médicos</v>
      </c>
      <c r="E14">
        <f>IF('Datos Cliente'!$G$7="Libre",'Cartilla Universal'!F15/100,IF('Cartilla Universal'!H15=0,'Cartilla Universal'!F15/100,'Cartilla Universal'!H15/100))</f>
        <v>0.8</v>
      </c>
      <c r="F14" s="789">
        <f>IF(IF('Datos Cliente'!$G$7="Libre",'Cartilla Universal'!G15,IF('Cartilla Universal'!I15=0,'Cartilla Universal'!G15,'Cartilla Universal'!I15))="SINTOPE",500,IF('Datos Cliente'!$G$7="Libre",'Cartilla Universal'!G15,IF('Cartilla Universal'!I15=0,'Cartilla Universal'!G15,'Cartilla Universal'!I15))/$K$2)</f>
        <v>34.555969581749046</v>
      </c>
      <c r="J14" t="s">
        <v>443</v>
      </c>
      <c r="K14" t="str">
        <f>'Datos Cliente'!C14</f>
        <v>-</v>
      </c>
      <c r="L14" t="str">
        <f>'Datos Cliente'!D14</f>
        <v>-</v>
      </c>
      <c r="N14" t="s">
        <v>596</v>
      </c>
    </row>
    <row r="15" spans="2:15" x14ac:dyDescent="0.2">
      <c r="B15" s="783" t="str">
        <f>'Cartilla Universal'!B16</f>
        <v>HOSPITALARIA</v>
      </c>
      <c r="C15" s="783" t="str">
        <f>'Cartilla Universal'!C16</f>
        <v>COLECISTECTOMIA POR VIDEOLAPAROSCOPIA</v>
      </c>
      <c r="D15" s="783" t="str">
        <f>'Cartilla Universal'!D16</f>
        <v>Derecho de Pabellón 10 (D)</v>
      </c>
      <c r="E15">
        <f>IF('Datos Cliente'!$G$7="Libre",'Cartilla Universal'!F16/100,IF('Cartilla Universal'!H16=0,'Cartilla Universal'!F16/100,'Cartilla Universal'!H16/100))</f>
        <v>1</v>
      </c>
      <c r="F15" s="789">
        <f>IF(IF('Datos Cliente'!$G$7="Libre",'Cartilla Universal'!G16,IF('Cartilla Universal'!I16=0,'Cartilla Universal'!G16,'Cartilla Universal'!I16))="SINTOPE",500,IF('Datos Cliente'!$G$7="Libre",'Cartilla Universal'!G16,IF('Cartilla Universal'!I16=0,'Cartilla Universal'!G16,'Cartilla Universal'!I16))/$K$2)</f>
        <v>500</v>
      </c>
      <c r="J15" s="224" t="s">
        <v>662</v>
      </c>
      <c r="K15" t="str">
        <f>'Datos Cliente'!C15</f>
        <v>-</v>
      </c>
      <c r="L15" t="str">
        <f>'Datos Cliente'!D15</f>
        <v>-</v>
      </c>
      <c r="O15" s="224"/>
    </row>
    <row r="16" spans="2:15" x14ac:dyDescent="0.2">
      <c r="B16" s="783" t="str">
        <f>'Cartilla Universal'!B17</f>
        <v>HOSPITALARIA</v>
      </c>
      <c r="C16" s="783" t="str">
        <f>'Cartilla Universal'!C17</f>
        <v>COLECISTECTOMIA POR VIDEOLAPAROSCOPIA</v>
      </c>
      <c r="D16" s="783" t="str">
        <f>'Cartilla Universal'!D17</f>
        <v>Honorarios Médicos</v>
      </c>
      <c r="E16">
        <f>IF('Datos Cliente'!$G$7="Libre",'Cartilla Universal'!F17/100,IF('Cartilla Universal'!H17=0,'Cartilla Universal'!F17/100,'Cartilla Universal'!H17/100))</f>
        <v>0.8</v>
      </c>
      <c r="F16" s="789">
        <f>IF(IF('Datos Cliente'!$G$7="Libre",'Cartilla Universal'!G17,IF('Cartilla Universal'!I17=0,'Cartilla Universal'!G17,'Cartilla Universal'!I17))="SINTOPE",500,IF('Datos Cliente'!$G$7="Libre",'Cartilla Universal'!G17,IF('Cartilla Universal'!I17=0,'Cartilla Universal'!G17,'Cartilla Universal'!I17))/$K$2)</f>
        <v>64.915969581749053</v>
      </c>
      <c r="J16" s="224" t="s">
        <v>663</v>
      </c>
      <c r="K16" t="str">
        <f>'Datos Cliente'!C16</f>
        <v>-</v>
      </c>
      <c r="L16" t="str">
        <f>'Datos Cliente'!D16</f>
        <v>-</v>
      </c>
      <c r="O16" s="224"/>
    </row>
    <row r="17" spans="2:15" x14ac:dyDescent="0.2">
      <c r="B17" s="783" t="str">
        <f>'Cartilla Universal'!B18</f>
        <v>HOSPITALARIA</v>
      </c>
      <c r="C17" s="783" t="str">
        <f>'Cartilla Universal'!C18</f>
        <v>HISTERECTOMIA TOTAL</v>
      </c>
      <c r="D17" s="783" t="str">
        <f>'Cartilla Universal'!D18</f>
        <v>Derecho de Pabellón 8 (D)</v>
      </c>
      <c r="E17">
        <f>IF('Datos Cliente'!$G$7="Libre",'Cartilla Universal'!F18/100,IF('Cartilla Universal'!H18=0,'Cartilla Universal'!F18/100,'Cartilla Universal'!H18/100))</f>
        <v>1</v>
      </c>
      <c r="F17" s="789">
        <f>IF(IF('Datos Cliente'!$G$7="Libre",'Cartilla Universal'!G18,IF('Cartilla Universal'!I18=0,'Cartilla Universal'!G18,'Cartilla Universal'!I18))="SINTOPE",500,IF('Datos Cliente'!$G$7="Libre",'Cartilla Universal'!G18,IF('Cartilla Universal'!I18=0,'Cartilla Universal'!G18,'Cartilla Universal'!I18))/$K$2)</f>
        <v>500</v>
      </c>
      <c r="J17" s="224" t="s">
        <v>664</v>
      </c>
      <c r="K17" t="str">
        <f>'Datos Cliente'!C17</f>
        <v>-</v>
      </c>
      <c r="L17" t="str">
        <f>'Datos Cliente'!D17</f>
        <v>-</v>
      </c>
      <c r="O17" s="224"/>
    </row>
    <row r="18" spans="2:15" x14ac:dyDescent="0.2">
      <c r="B18" s="783" t="str">
        <f>'Cartilla Universal'!B19</f>
        <v>HOSPITALARIA</v>
      </c>
      <c r="C18" s="783" t="str">
        <f>'Cartilla Universal'!C19</f>
        <v>HISTERECTOMIA TOTAL</v>
      </c>
      <c r="D18" s="783" t="str">
        <f>'Cartilla Universal'!D19</f>
        <v>Honorarios Médicos</v>
      </c>
      <c r="E18">
        <f>IF('Datos Cliente'!$G$7="Libre",'Cartilla Universal'!F19/100,IF('Cartilla Universal'!H19=0,'Cartilla Universal'!F19/100,'Cartilla Universal'!H19/100))</f>
        <v>0.8</v>
      </c>
      <c r="F18" s="789">
        <f>IF(IF('Datos Cliente'!$G$7="Libre",'Cartilla Universal'!G19,IF('Cartilla Universal'!I19=0,'Cartilla Universal'!G19,'Cartilla Universal'!I19))="SINTOPE",500,IF('Datos Cliente'!$G$7="Libre",'Cartilla Universal'!G19,IF('Cartilla Universal'!I19=0,'Cartilla Universal'!G19,'Cartilla Universal'!I19))/$K$2)</f>
        <v>48.830836501901139</v>
      </c>
    </row>
    <row r="19" spans="2:15" x14ac:dyDescent="0.2">
      <c r="B19" s="783" t="str">
        <f>'Cartilla Universal'!B20</f>
        <v>HOSPITALARIA</v>
      </c>
      <c r="C19" s="783" t="str">
        <f>'Cartilla Universal'!C20</f>
        <v>AMIGDALECTOMIA</v>
      </c>
      <c r="D19" s="783" t="str">
        <f>'Cartilla Universal'!D20</f>
        <v>Derecho de Pabellón 5 (D)</v>
      </c>
      <c r="E19">
        <f>IF('Datos Cliente'!$G$7="Libre",'Cartilla Universal'!F20/100,IF('Cartilla Universal'!H20=0,'Cartilla Universal'!F20/100,'Cartilla Universal'!H20/100))</f>
        <v>1</v>
      </c>
      <c r="F19" s="789">
        <f>IF(IF('Datos Cliente'!$G$7="Libre",'Cartilla Universal'!G20,IF('Cartilla Universal'!I20=0,'Cartilla Universal'!G20,'Cartilla Universal'!I20))="SINTOPE",500,IF('Datos Cliente'!$G$7="Libre",'Cartilla Universal'!G20,IF('Cartilla Universal'!I20=0,'Cartilla Universal'!G20,'Cartilla Universal'!I20))/$K$2)</f>
        <v>500</v>
      </c>
    </row>
    <row r="20" spans="2:15" x14ac:dyDescent="0.2">
      <c r="B20" s="783" t="str">
        <f>'Cartilla Universal'!B21</f>
        <v>HOSPITALARIA</v>
      </c>
      <c r="C20" s="783" t="str">
        <f>'Cartilla Universal'!C21</f>
        <v>AMIGDALECTOMIA</v>
      </c>
      <c r="D20" s="783" t="str">
        <f>'Cartilla Universal'!D21</f>
        <v>Honorarios Médicos</v>
      </c>
      <c r="E20">
        <f>IF('Datos Cliente'!$G$7="Libre",'Cartilla Universal'!F21/100,IF('Cartilla Universal'!H21=0,'Cartilla Universal'!F21/100,'Cartilla Universal'!H21/100))</f>
        <v>0.8</v>
      </c>
      <c r="F20" s="789">
        <f>IF(IF('Datos Cliente'!$G$7="Libre",'Cartilla Universal'!G21,IF('Cartilla Universal'!I21=0,'Cartilla Universal'!G21,'Cartilla Universal'!I21))="SINTOPE",500,IF('Datos Cliente'!$G$7="Libre",'Cartilla Universal'!G21,IF('Cartilla Universal'!I21=0,'Cartilla Universal'!G21,'Cartilla Universal'!I21))/$K$2)</f>
        <v>17.75110266159696</v>
      </c>
    </row>
    <row r="21" spans="2:15" x14ac:dyDescent="0.2">
      <c r="B21" s="783" t="str">
        <f>'Cartilla Universal'!B22</f>
        <v>HOSPITALARIA</v>
      </c>
      <c r="C21" s="783" t="str">
        <f>'Cartilla Universal'!C22</f>
        <v>CIRUGIA CARDIACA DE COMPLEJIDAD MAYOR</v>
      </c>
      <c r="D21" s="783" t="str">
        <f>'Cartilla Universal'!D22</f>
        <v>Derecho de Pabellón 14 (D)</v>
      </c>
      <c r="E21">
        <f>IF('Datos Cliente'!$G$7="Libre",'Cartilla Universal'!F22/100,IF('Cartilla Universal'!H22=0,'Cartilla Universal'!F22/100,'Cartilla Universal'!H22/100))</f>
        <v>1</v>
      </c>
      <c r="F21" s="789">
        <f>IF(IF('Datos Cliente'!$G$7="Libre",'Cartilla Universal'!G22,IF('Cartilla Universal'!I22=0,'Cartilla Universal'!G22,'Cartilla Universal'!I22))="SINTOPE",500,IF('Datos Cliente'!$G$7="Libre",'Cartilla Universal'!G22,IF('Cartilla Universal'!I22=0,'Cartilla Universal'!G22,'Cartilla Universal'!I22))/$K$2)</f>
        <v>500</v>
      </c>
    </row>
    <row r="22" spans="2:15" x14ac:dyDescent="0.2">
      <c r="B22" s="783" t="str">
        <f>'Cartilla Universal'!B23</f>
        <v>HOSPITALARIA</v>
      </c>
      <c r="C22" s="783" t="str">
        <f>'Cartilla Universal'!C23</f>
        <v>CIRUGIA CARDIACA DE COMPLEJIDAD MAYOR</v>
      </c>
      <c r="D22" s="783" t="str">
        <f>'Cartilla Universal'!D23</f>
        <v>Honorarios Médicos</v>
      </c>
      <c r="E22">
        <f>IF('Datos Cliente'!$G$7="Libre",'Cartilla Universal'!F23/100,IF('Cartilla Universal'!H23=0,'Cartilla Universal'!F23/100,'Cartilla Universal'!H23/100))</f>
        <v>0.8</v>
      </c>
      <c r="F22" s="789">
        <f>IF(IF('Datos Cliente'!$G$7="Libre",'Cartilla Universal'!G23,IF('Cartilla Universal'!I23=0,'Cartilla Universal'!G23,'Cartilla Universal'!I23))="SINTOPE",500,IF('Datos Cliente'!$G$7="Libre",'Cartilla Universal'!G23,IF('Cartilla Universal'!I23=0,'Cartilla Universal'!G23,'Cartilla Universal'!I23))/$K$2)</f>
        <v>188.13387832699621</v>
      </c>
    </row>
    <row r="23" spans="2:15" x14ac:dyDescent="0.2">
      <c r="B23" s="783" t="str">
        <f>'Cartilla Universal'!B24</f>
        <v>HOSPITALARIA</v>
      </c>
      <c r="C23" s="783" t="str">
        <f>'Cartilla Universal'!C24</f>
        <v>EXTIRPACION¶¶¶ TUMOR Y/O QUISTE ENCEFALICO</v>
      </c>
      <c r="D23" s="783" t="str">
        <f>'Cartilla Universal'!D24</f>
        <v>Derecho de Pabellón 12 (D)</v>
      </c>
      <c r="E23">
        <f>IF('Datos Cliente'!$G$7="Libre",'Cartilla Universal'!F24/100,IF('Cartilla Universal'!H24=0,'Cartilla Universal'!F24/100,'Cartilla Universal'!H24/100))</f>
        <v>1</v>
      </c>
      <c r="F23" s="789">
        <f>IF(IF('Datos Cliente'!$G$7="Libre",'Cartilla Universal'!G24,IF('Cartilla Universal'!I24=0,'Cartilla Universal'!G24,'Cartilla Universal'!I24))="SINTOPE",500,IF('Datos Cliente'!$G$7="Libre",'Cartilla Universal'!G24,IF('Cartilla Universal'!I24=0,'Cartilla Universal'!G24,'Cartilla Universal'!I24))/$K$2)</f>
        <v>500</v>
      </c>
    </row>
    <row r="24" spans="2:15" x14ac:dyDescent="0.2">
      <c r="B24" s="783" t="str">
        <f>'Cartilla Universal'!B25</f>
        <v>HOSPITALARIA</v>
      </c>
      <c r="C24" s="783" t="str">
        <f>'Cartilla Universal'!C25</f>
        <v>EXTIRPACION¶¶¶ TUMOR Y/O QUISTE ENCEFALICO</v>
      </c>
      <c r="D24" s="783" t="str">
        <f>'Cartilla Universal'!D25</f>
        <v>Honorarios Médicos</v>
      </c>
      <c r="E24">
        <f>IF('Datos Cliente'!$G$7="Libre",'Cartilla Universal'!F25/100,IF('Cartilla Universal'!H25=0,'Cartilla Universal'!F25/100,'Cartilla Universal'!H25/100))</f>
        <v>0.8</v>
      </c>
      <c r="F24" s="789">
        <f>IF(IF('Datos Cliente'!$G$7="Libre",'Cartilla Universal'!G25,IF('Cartilla Universal'!I25=0,'Cartilla Universal'!G25,'Cartilla Universal'!I25))="SINTOPE",500,IF('Datos Cliente'!$G$7="Libre",'Cartilla Universal'!G25,IF('Cartilla Universal'!I25=0,'Cartilla Universal'!G25,'Cartilla Universal'!I25))/$K$2)</f>
        <v>91.021406844106465</v>
      </c>
    </row>
    <row r="25" spans="2:15" x14ac:dyDescent="0.2">
      <c r="B25" s="783" t="str">
        <f>'Cartilla Universal'!B26</f>
        <v>HOSPITALARIA</v>
      </c>
      <c r="C25" s="783" t="str">
        <f>'Cartilla Universal'!C26</f>
        <v>DIAS CAMA</v>
      </c>
      <c r="D25" s="783" t="str">
        <f>'Cartilla Universal'!D26</f>
        <v>Medicina y/o Cirugía (D)</v>
      </c>
      <c r="E25">
        <f>IF('Datos Cliente'!$G$7="Libre",'Cartilla Universal'!F26/100,IF('Cartilla Universal'!H26=0,'Cartilla Universal'!F26/100,'Cartilla Universal'!H26/100))</f>
        <v>1</v>
      </c>
      <c r="F25" s="789">
        <f>IF(IF('Datos Cliente'!$G$7="Libre",'Cartilla Universal'!G26,IF('Cartilla Universal'!I26=0,'Cartilla Universal'!G26,'Cartilla Universal'!I26))="SINTOPE",500,IF('Datos Cliente'!$G$7="Libre",'Cartilla Universal'!G26,IF('Cartilla Universal'!I26=0,'Cartilla Universal'!G26,'Cartilla Universal'!I26))/$K$2)</f>
        <v>500</v>
      </c>
    </row>
    <row r="26" spans="2:15" x14ac:dyDescent="0.2">
      <c r="B26" s="783" t="str">
        <f>'Cartilla Universal'!B27</f>
        <v>HOSPITALARIA</v>
      </c>
      <c r="C26" s="783" t="str">
        <f>'Cartilla Universal'!C27</f>
        <v>DIAS CAMA</v>
      </c>
      <c r="D26" s="783" t="str">
        <f>'Cartilla Universal'!D27</f>
        <v>Sala cuna (D1)</v>
      </c>
      <c r="E26">
        <f>IF('Datos Cliente'!$G$7="Libre",'Cartilla Universal'!F27/100,IF('Cartilla Universal'!H27=0,'Cartilla Universal'!F27/100,'Cartilla Universal'!H27/100))</f>
        <v>0.25</v>
      </c>
      <c r="F26" s="789">
        <f>IF(IF('Datos Cliente'!$G$7="Libre",'Cartilla Universal'!G27,IF('Cartilla Universal'!I27=0,'Cartilla Universal'!G27,'Cartilla Universal'!I27))="SINTOPE",500,IF('Datos Cliente'!$G$7="Libre",'Cartilla Universal'!G27,IF('Cartilla Universal'!I27=0,'Cartilla Universal'!G27,'Cartilla Universal'!I27))/$K$2)</f>
        <v>500</v>
      </c>
    </row>
    <row r="27" spans="2:15" x14ac:dyDescent="0.2">
      <c r="B27" s="783" t="str">
        <f>'Cartilla Universal'!B28</f>
        <v>HOSPITALARIA</v>
      </c>
      <c r="C27" s="783" t="str">
        <f>'Cartilla Universal'!C28</f>
        <v>DIAS CAMA</v>
      </c>
      <c r="D27" s="783" t="str">
        <f>'Cartilla Universal'!D28</f>
        <v>U.T.I. Adulto (D)</v>
      </c>
      <c r="E27">
        <f>IF('Datos Cliente'!$G$7="Libre",'Cartilla Universal'!F28/100,IF('Cartilla Universal'!H28=0,'Cartilla Universal'!F28/100,'Cartilla Universal'!H28/100))</f>
        <v>1</v>
      </c>
      <c r="F27" s="789">
        <f>IF(IF('Datos Cliente'!$G$7="Libre",'Cartilla Universal'!G28,IF('Cartilla Universal'!I28=0,'Cartilla Universal'!G28,'Cartilla Universal'!I28))="SINTOPE",500,IF('Datos Cliente'!$G$7="Libre",'Cartilla Universal'!G28,IF('Cartilla Universal'!I28=0,'Cartilla Universal'!G28,'Cartilla Universal'!I28))/$K$2)</f>
        <v>500</v>
      </c>
    </row>
    <row r="28" spans="2:15" x14ac:dyDescent="0.2">
      <c r="B28" s="783" t="str">
        <f>'Cartilla Universal'!B29</f>
        <v>HOSPITALARIA</v>
      </c>
      <c r="C28" s="783" t="str">
        <f>'Cartilla Universal'!C29</f>
        <v>DIAS CAMA</v>
      </c>
      <c r="D28" s="783" t="str">
        <f>'Cartilla Universal'!D29</f>
        <v>U.T.I. Pediatría (D)</v>
      </c>
      <c r="E28">
        <f>IF('Datos Cliente'!$G$7="Libre",'Cartilla Universal'!F29/100,IF('Cartilla Universal'!H29=0,'Cartilla Universal'!F29/100,'Cartilla Universal'!H29/100))</f>
        <v>0.25</v>
      </c>
      <c r="F28" s="789">
        <f>IF(IF('Datos Cliente'!$G$7="Libre",'Cartilla Universal'!G29,IF('Cartilla Universal'!I29=0,'Cartilla Universal'!G29,'Cartilla Universal'!I29))="SINTOPE",500,IF('Datos Cliente'!$G$7="Libre",'Cartilla Universal'!G29,IF('Cartilla Universal'!I29=0,'Cartilla Universal'!G29,'Cartilla Universal'!I29))/$K$2)</f>
        <v>500</v>
      </c>
    </row>
    <row r="29" spans="2:15" x14ac:dyDescent="0.2">
      <c r="B29" s="783" t="str">
        <f>'Cartilla Universal'!B30</f>
        <v>HOSPITALARIA</v>
      </c>
      <c r="C29" s="783" t="str">
        <f>'Cartilla Universal'!C30</f>
        <v>DIAS CAMA</v>
      </c>
      <c r="D29" s="783" t="str">
        <f>'Cartilla Universal'!D30</f>
        <v>U.T.I. Neonatal (D1)</v>
      </c>
      <c r="E29">
        <f>IF('Datos Cliente'!$G$7="Libre",'Cartilla Universal'!F30/100,IF('Cartilla Universal'!H30=0,'Cartilla Universal'!F30/100,'Cartilla Universal'!H30/100))</f>
        <v>0.25</v>
      </c>
      <c r="F29" s="789">
        <f>IF(IF('Datos Cliente'!$G$7="Libre",'Cartilla Universal'!G30,IF('Cartilla Universal'!I30=0,'Cartilla Universal'!G30,'Cartilla Universal'!I30))="SINTOPE",500,IF('Datos Cliente'!$G$7="Libre",'Cartilla Universal'!G30,IF('Cartilla Universal'!I30=0,'Cartilla Universal'!G30,'Cartilla Universal'!I30))/$K$2)</f>
        <v>500</v>
      </c>
    </row>
    <row r="30" spans="2:15" x14ac:dyDescent="0.2">
      <c r="B30" s="783" t="str">
        <f>'Cartilla Universal'!B31</f>
        <v>HOSPITALARIA</v>
      </c>
      <c r="C30" s="783" t="str">
        <f>'Cartilla Universal'!C31</f>
        <v>MEDICAMENTOS Y MAT. CLINICOS¶ Para los siguientes eventos:</v>
      </c>
      <c r="D30" s="783" t="str">
        <f>'Cartilla Universal'!D31</f>
        <v>Apendicectomía (B) (D)</v>
      </c>
      <c r="E30">
        <f>IF('Datos Cliente'!$G$7="Libre",'Cartilla Universal'!F31/100,IF('Cartilla Universal'!H31=0,'Cartilla Universal'!F31/100,'Cartilla Universal'!H31/100))</f>
        <v>1</v>
      </c>
      <c r="F30" s="789">
        <f>IF(IF('Datos Cliente'!$G$7="Libre",'Cartilla Universal'!G31,IF('Cartilla Universal'!I31=0,'Cartilla Universal'!G31,'Cartilla Universal'!I31))="SINTOPE",500,IF('Datos Cliente'!$G$7="Libre",'Cartilla Universal'!G31,IF('Cartilla Universal'!I31=0,'Cartilla Universal'!G31,'Cartilla Universal'!I31))/$K$2)</f>
        <v>500</v>
      </c>
    </row>
    <row r="31" spans="2:15" x14ac:dyDescent="0.2">
      <c r="B31" s="783" t="str">
        <f>'Cartilla Universal'!B32</f>
        <v>HOSPITALARIA</v>
      </c>
      <c r="C31" s="783" t="str">
        <f>'Cartilla Universal'!C32</f>
        <v>MEDICAMENTOS Y MAT. CLINICOS¶ Para los siguientes eventos:</v>
      </c>
      <c r="D31" s="783" t="str">
        <f>'Cartilla Universal'!D32</f>
        <v>Hospitalización por Neumonía (B) (D)</v>
      </c>
      <c r="E31">
        <f>IF('Datos Cliente'!$G$7="Libre",'Cartilla Universal'!F32/100,IF('Cartilla Universal'!H32=0,'Cartilla Universal'!F32/100,'Cartilla Universal'!H32/100))</f>
        <v>1</v>
      </c>
      <c r="F31" s="789">
        <f>IF(IF('Datos Cliente'!$G$7="Libre",'Cartilla Universal'!G32,IF('Cartilla Universal'!I32=0,'Cartilla Universal'!G32,'Cartilla Universal'!I32))="SINTOPE",500,IF('Datos Cliente'!$G$7="Libre",'Cartilla Universal'!G32,IF('Cartilla Universal'!I32=0,'Cartilla Universal'!G32,'Cartilla Universal'!I32))/$K$2)</f>
        <v>500</v>
      </c>
    </row>
    <row r="32" spans="2:15" x14ac:dyDescent="0.2">
      <c r="B32" s="783" t="str">
        <f>'Cartilla Universal'!B33</f>
        <v>AMBULATORIA</v>
      </c>
      <c r="C32" s="783" t="str">
        <f>'Cartilla Universal'!C33</f>
        <v>CONSULTAS</v>
      </c>
      <c r="D32" s="783" t="str">
        <f>'Cartilla Universal'!D33</f>
        <v>Consulta médica electiva ó urgencia</v>
      </c>
      <c r="E32">
        <f>IF('Datos Cliente'!$G$7="Libre",'Cartilla Universal'!F33/100,IF('Cartilla Universal'!H33=0,'Cartilla Universal'!F33/100,'Cartilla Universal'!H33/100))</f>
        <v>0.9</v>
      </c>
      <c r="F32" s="789">
        <f>IF(IF('Datos Cliente'!$G$7="Libre",'Cartilla Universal'!G33,IF('Cartilla Universal'!I33=0,'Cartilla Universal'!G33,'Cartilla Universal'!I33))="SINTOPE",500,IF('Datos Cliente'!$G$7="Libre",'Cartilla Universal'!G33,IF('Cartilla Universal'!I33=0,'Cartilla Universal'!G33,'Cartilla Universal'!I33))/$K$2)</f>
        <v>1.0412927756653994</v>
      </c>
    </row>
    <row r="33" spans="2:6" x14ac:dyDescent="0.2">
      <c r="B33" s="783" t="str">
        <f>'Cartilla Universal'!B34</f>
        <v>AMBULATORIA</v>
      </c>
      <c r="C33" s="783" t="str">
        <f>'Cartilla Universal'!C34</f>
        <v>CONSULTAS</v>
      </c>
      <c r="D33" s="783" t="str">
        <f>'Cartilla Universal'!D34</f>
        <v>Consulta Psiquiátrica (A)</v>
      </c>
      <c r="E33">
        <f>IF('Datos Cliente'!$G$7="Libre",'Cartilla Universal'!F34/100,IF('Cartilla Universal'!H34=0,'Cartilla Universal'!F34/100,'Cartilla Universal'!H34/100))</f>
        <v>0.9</v>
      </c>
      <c r="F33" s="789">
        <f>IF(IF('Datos Cliente'!$G$7="Libre",'Cartilla Universal'!G34,IF('Cartilla Universal'!I34=0,'Cartilla Universal'!G34,'Cartilla Universal'!I34))="SINTOPE",500,IF('Datos Cliente'!$G$7="Libre",'Cartilla Universal'!G34,IF('Cartilla Universal'!I34=0,'Cartilla Universal'!G34,'Cartilla Universal'!I34))/$K$2)</f>
        <v>0.5937262357414449</v>
      </c>
    </row>
    <row r="34" spans="2:6" x14ac:dyDescent="0.2">
      <c r="B34" s="783" t="str">
        <f>'Cartilla Universal'!B35</f>
        <v>AMBULATORIA</v>
      </c>
      <c r="C34" s="783" t="str">
        <f>'Cartilla Universal'!C35</f>
        <v>EXAMENES Y PROCEDIMIENTOS</v>
      </c>
      <c r="D34" s="783" t="str">
        <f>'Cartilla Universal'!D35</f>
        <v>Hemograma</v>
      </c>
      <c r="E34">
        <f>IF('Datos Cliente'!$G$7="Libre",'Cartilla Universal'!F35/100,IF('Cartilla Universal'!H35=0,'Cartilla Universal'!F35/100,'Cartilla Universal'!H35/100))</f>
        <v>0.9</v>
      </c>
      <c r="F34" s="789">
        <f>IF(IF('Datos Cliente'!$G$7="Libre",'Cartilla Universal'!G35,IF('Cartilla Universal'!I35=0,'Cartilla Universal'!G35,'Cartilla Universal'!I35))="SINTOPE",500,IF('Datos Cliente'!$G$7="Libre",'Cartilla Universal'!G35,IF('Cartilla Universal'!I35=0,'Cartilla Universal'!G35,'Cartilla Universal'!I35))/$K$2)</f>
        <v>0.16178707224334601</v>
      </c>
    </row>
    <row r="35" spans="2:6" x14ac:dyDescent="0.2">
      <c r="B35" s="783" t="str">
        <f>'Cartilla Universal'!B36</f>
        <v>AMBULATORIA</v>
      </c>
      <c r="C35" s="783" t="str">
        <f>'Cartilla Universal'!C36</f>
        <v>EXAMENES Y PROCEDIMIENTOS</v>
      </c>
      <c r="D35" s="783" t="str">
        <f>'Cartilla Universal'!D36</f>
        <v>Estudio de lípidos sanguíneos</v>
      </c>
      <c r="E35">
        <f>IF('Datos Cliente'!$G$7="Libre",'Cartilla Universal'!F36/100,IF('Cartilla Universal'!H36=0,'Cartilla Universal'!F36/100,'Cartilla Universal'!H36/100))</f>
        <v>0.9</v>
      </c>
      <c r="F35" s="789">
        <f>IF(IF('Datos Cliente'!$G$7="Libre",'Cartilla Universal'!G36,IF('Cartilla Universal'!I36=0,'Cartilla Universal'!G36,'Cartilla Universal'!I36))="SINTOPE",500,IF('Datos Cliente'!$G$7="Libre",'Cartilla Universal'!G36,IF('Cartilla Universal'!I36=0,'Cartilla Universal'!G36,'Cartilla Universal'!I36))/$K$2)</f>
        <v>0.35551330798479086</v>
      </c>
    </row>
    <row r="36" spans="2:6" x14ac:dyDescent="0.2">
      <c r="B36" s="783" t="str">
        <f>'Cartilla Universal'!B37</f>
        <v>AMBULATORIA</v>
      </c>
      <c r="C36" s="783" t="str">
        <f>'Cartilla Universal'!C37</f>
        <v>EXAMENES Y PROCEDIMIENTOS</v>
      </c>
      <c r="D36" s="783" t="str">
        <f>'Cartilla Universal'!D37</f>
        <v>Perfil Bioquímico</v>
      </c>
      <c r="E36">
        <f>IF('Datos Cliente'!$G$7="Libre",'Cartilla Universal'!F37/100,IF('Cartilla Universal'!H37=0,'Cartilla Universal'!F37/100,'Cartilla Universal'!H37/100))</f>
        <v>0.9</v>
      </c>
      <c r="F36" s="789">
        <f>IF(IF('Datos Cliente'!$G$7="Libre",'Cartilla Universal'!G37,IF('Cartilla Universal'!I37=0,'Cartilla Universal'!G37,'Cartilla Universal'!I37))="SINTOPE",500,IF('Datos Cliente'!$G$7="Libre",'Cartilla Universal'!G37,IF('Cartilla Universal'!I37=0,'Cartilla Universal'!G37,'Cartilla Universal'!I37))/$K$2)</f>
        <v>0.38437262357414448</v>
      </c>
    </row>
    <row r="37" spans="2:6" x14ac:dyDescent="0.2">
      <c r="B37" s="783" t="str">
        <f>'Cartilla Universal'!B38</f>
        <v>AMBULATORIA</v>
      </c>
      <c r="C37" s="783" t="str">
        <f>'Cartilla Universal'!C38</f>
        <v>EXAMENES Y PROCEDIMIENTOS</v>
      </c>
      <c r="D37" s="783" t="str">
        <f>'Cartilla Universal'!D38</f>
        <v>Urocultivo</v>
      </c>
      <c r="E37">
        <f>IF('Datos Cliente'!$G$7="Libre",'Cartilla Universal'!F38/100,IF('Cartilla Universal'!H38=0,'Cartilla Universal'!F38/100,'Cartilla Universal'!H38/100))</f>
        <v>0.9</v>
      </c>
      <c r="F37" s="789">
        <f>IF(IF('Datos Cliente'!$G$7="Libre",'Cartilla Universal'!G38,IF('Cartilla Universal'!I38=0,'Cartilla Universal'!G38,'Cartilla Universal'!I38))="SINTOPE",500,IF('Datos Cliente'!$G$7="Libre",'Cartilla Universal'!G38,IF('Cartilla Universal'!I38=0,'Cartilla Universal'!G38,'Cartilla Universal'!I38))/$K$2)</f>
        <v>0.17802281368821293</v>
      </c>
    </row>
    <row r="38" spans="2:6" x14ac:dyDescent="0.2">
      <c r="B38" s="783" t="str">
        <f>'Cartilla Universal'!B39</f>
        <v>AMBULATORIA</v>
      </c>
      <c r="C38" s="783" t="str">
        <f>'Cartilla Universal'!C39</f>
        <v>EXAMENES Y PROCEDIMIENTOS</v>
      </c>
      <c r="D38" s="783" t="str">
        <f>'Cartilla Universal'!D39</f>
        <v>Orina completa</v>
      </c>
      <c r="E38">
        <f>IF('Datos Cliente'!$G$7="Libre",'Cartilla Universal'!F39/100,IF('Cartilla Universal'!H39=0,'Cartilla Universal'!F39/100,'Cartilla Universal'!H39/100))</f>
        <v>0.9</v>
      </c>
      <c r="F38" s="789">
        <f>IF(IF('Datos Cliente'!$G$7="Libre",'Cartilla Universal'!G39,IF('Cartilla Universal'!I39=0,'Cartilla Universal'!G39,'Cartilla Universal'!I39))="SINTOPE",500,IF('Datos Cliente'!$G$7="Libre",'Cartilla Universal'!G39,IF('Cartilla Universal'!I39=0,'Cartilla Universal'!G39,'Cartilla Universal'!I39))/$K$2)</f>
        <v>0.10627376425855513</v>
      </c>
    </row>
    <row r="39" spans="2:6" x14ac:dyDescent="0.2">
      <c r="B39" s="783" t="str">
        <f>'Cartilla Universal'!B40</f>
        <v>AMBULATORIA</v>
      </c>
      <c r="C39" s="783" t="str">
        <f>'Cartilla Universal'!C40</f>
        <v>EXAMENES Y PROCEDIMIENTOS</v>
      </c>
      <c r="D39" s="783" t="str">
        <f>'Cartilla Universal'!D40</f>
        <v>Densitometría osea</v>
      </c>
      <c r="E39">
        <f>IF('Datos Cliente'!$G$7="Libre",'Cartilla Universal'!F40/100,IF('Cartilla Universal'!H40=0,'Cartilla Universal'!F40/100,'Cartilla Universal'!H40/100))</f>
        <v>0.9</v>
      </c>
      <c r="F39" s="789">
        <f>IF(IF('Datos Cliente'!$G$7="Libre",'Cartilla Universal'!G40,IF('Cartilla Universal'!I40=0,'Cartilla Universal'!G40,'Cartilla Universal'!I40))="SINTOPE",500,IF('Datos Cliente'!$G$7="Libre",'Cartilla Universal'!G40,IF('Cartilla Universal'!I40=0,'Cartilla Universal'!G40,'Cartilla Universal'!I40))/$K$2)</f>
        <v>2.0869961977186313</v>
      </c>
    </row>
    <row r="40" spans="2:6" x14ac:dyDescent="0.2">
      <c r="B40" s="783" t="str">
        <f>'Cartilla Universal'!B41</f>
        <v>AMBULATORIA</v>
      </c>
      <c r="C40" s="783" t="str">
        <f>'Cartilla Universal'!C41</f>
        <v>EXAMENES Y PROCEDIMIENTOS</v>
      </c>
      <c r="D40" s="783" t="str">
        <f>'Cartilla Universal'!D41</f>
        <v>Citodiagnóstico corriente</v>
      </c>
      <c r="E40">
        <f>IF('Datos Cliente'!$G$7="Libre",'Cartilla Universal'!F41/100,IF('Cartilla Universal'!H41=0,'Cartilla Universal'!F41/100,'Cartilla Universal'!H41/100))</f>
        <v>0.9</v>
      </c>
      <c r="F40" s="789">
        <f>IF(IF('Datos Cliente'!$G$7="Libre",'Cartilla Universal'!G41,IF('Cartilla Universal'!I41=0,'Cartilla Universal'!G41,'Cartilla Universal'!I41))="SINTOPE",500,IF('Datos Cliente'!$G$7="Libre",'Cartilla Universal'!G41,IF('Cartilla Universal'!I41=0,'Cartilla Universal'!G41,'Cartilla Universal'!I41))/$K$2)</f>
        <v>0.39988593155893537</v>
      </c>
    </row>
    <row r="41" spans="2:6" x14ac:dyDescent="0.2">
      <c r="B41" s="783" t="str">
        <f>'Cartilla Universal'!B42</f>
        <v>AMBULATORIA</v>
      </c>
      <c r="C41" s="783" t="str">
        <f>'Cartilla Universal'!C42</f>
        <v>EXAMENES Y PROCEDIMIENTOS</v>
      </c>
      <c r="D41" s="783" t="str">
        <f>'Cartilla Universal'!D42</f>
        <v>Estudio histopatológico corriente</v>
      </c>
      <c r="E41">
        <f>IF('Datos Cliente'!$G$7="Libre",'Cartilla Universal'!F42/100,IF('Cartilla Universal'!H42=0,'Cartilla Universal'!F42/100,'Cartilla Universal'!H42/100))</f>
        <v>0.9</v>
      </c>
      <c r="F41" s="789">
        <f>IF(IF('Datos Cliente'!$G$7="Libre",'Cartilla Universal'!G42,IF('Cartilla Universal'!I42=0,'Cartilla Universal'!G42,'Cartilla Universal'!I42))="SINTOPE",500,IF('Datos Cliente'!$G$7="Libre",'Cartilla Universal'!G42,IF('Cartilla Universal'!I42=0,'Cartilla Universal'!G42,'Cartilla Universal'!I42))/$K$2)</f>
        <v>0.62387832699619772</v>
      </c>
    </row>
    <row r="42" spans="2:6" x14ac:dyDescent="0.2">
      <c r="B42" s="783" t="str">
        <f>'Cartilla Universal'!B43</f>
        <v>AMBULATORIA</v>
      </c>
      <c r="C42" s="783" t="str">
        <f>'Cartilla Universal'!C43</f>
        <v>EXAMENES Y PROCEDIMIENTOS</v>
      </c>
      <c r="D42" s="783" t="str">
        <f>'Cartilla Universal'!D43</f>
        <v>Exploración vitreorretinal</v>
      </c>
      <c r="E42">
        <f>IF('Datos Cliente'!$G$7="Libre",'Cartilla Universal'!F43/100,IF('Cartilla Universal'!H43=0,'Cartilla Universal'!F43/100,'Cartilla Universal'!H43/100))</f>
        <v>0.9</v>
      </c>
      <c r="F42" s="789">
        <f>IF(IF('Datos Cliente'!$G$7="Libre",'Cartilla Universal'!G43,IF('Cartilla Universal'!I43=0,'Cartilla Universal'!G43,'Cartilla Universal'!I43))="SINTOPE",500,IF('Datos Cliente'!$G$7="Libre",'Cartilla Universal'!G43,IF('Cartilla Universal'!I43=0,'Cartilla Universal'!G43,'Cartilla Universal'!I43))/$K$2)</f>
        <v>0.28992395437262358</v>
      </c>
    </row>
    <row r="43" spans="2:6" x14ac:dyDescent="0.2">
      <c r="B43" s="783" t="str">
        <f>'Cartilla Universal'!B44</f>
        <v>AMBULATORIA</v>
      </c>
      <c r="C43" s="783" t="str">
        <f>'Cartilla Universal'!C44</f>
        <v>EXAMENES Y PROCEDIMIENTOS</v>
      </c>
      <c r="D43" s="783" t="str">
        <f>'Cartilla Universal'!D44</f>
        <v>Electrocardiograma de reposo</v>
      </c>
      <c r="E43">
        <f>IF('Datos Cliente'!$G$7="Libre",'Cartilla Universal'!F44/100,IF('Cartilla Universal'!H44=0,'Cartilla Universal'!F44/100,'Cartilla Universal'!H44/100))</f>
        <v>0.9</v>
      </c>
      <c r="F43" s="789">
        <f>IF(IF('Datos Cliente'!$G$7="Libre",'Cartilla Universal'!G44,IF('Cartilla Universal'!I44=0,'Cartilla Universal'!G44,'Cartilla Universal'!I44))="SINTOPE",500,IF('Datos Cliente'!$G$7="Libre",'Cartilla Universal'!G44,IF('Cartilla Universal'!I44=0,'Cartilla Universal'!G44,'Cartilla Universal'!I44))/$K$2)</f>
        <v>0.30501901140684412</v>
      </c>
    </row>
    <row r="44" spans="2:6" x14ac:dyDescent="0.2">
      <c r="B44" s="783" t="str">
        <f>'Cartilla Universal'!B45</f>
        <v>AMBULATORIA</v>
      </c>
      <c r="C44" s="783" t="str">
        <f>'Cartilla Universal'!C45</f>
        <v>EXAMENES Y PROCEDIMIENTOS</v>
      </c>
      <c r="D44" s="783" t="str">
        <f>'Cartilla Universal'!D45</f>
        <v>Ecocardiograma Doppler</v>
      </c>
      <c r="E44">
        <f>IF('Datos Cliente'!$G$7="Libre",'Cartilla Universal'!F45/100,IF('Cartilla Universal'!H45=0,'Cartilla Universal'!F45/100,'Cartilla Universal'!H45/100))</f>
        <v>0.9</v>
      </c>
      <c r="F44" s="789">
        <f>IF(IF('Datos Cliente'!$G$7="Libre",'Cartilla Universal'!G45,IF('Cartilla Universal'!I45=0,'Cartilla Universal'!G45,'Cartilla Universal'!I45))="SINTOPE",500,IF('Datos Cliente'!$G$7="Libre",'Cartilla Universal'!G45,IF('Cartilla Universal'!I45=0,'Cartilla Universal'!G45,'Cartilla Universal'!I45))/$K$2)</f>
        <v>2.7752471482889733</v>
      </c>
    </row>
    <row r="45" spans="2:6" x14ac:dyDescent="0.2">
      <c r="B45" s="783" t="str">
        <f>'Cartilla Universal'!B46</f>
        <v>AMBULATORIA</v>
      </c>
      <c r="C45" s="783" t="str">
        <f>'Cartilla Universal'!C46</f>
        <v>EXAMENES Y PROCEDIMIENTOS</v>
      </c>
      <c r="D45" s="783" t="str">
        <f>'Cartilla Universal'!D46</f>
        <v>Gastroduodenoscopía</v>
      </c>
      <c r="E45">
        <f>IF('Datos Cliente'!$G$7="Libre",'Cartilla Universal'!F46/100,IF('Cartilla Universal'!H46=0,'Cartilla Universal'!F46/100,'Cartilla Universal'!H46/100))</f>
        <v>0.9</v>
      </c>
      <c r="F45" s="789">
        <f>IF(IF('Datos Cliente'!$G$7="Libre",'Cartilla Universal'!G46,IF('Cartilla Universal'!I46=0,'Cartilla Universal'!G46,'Cartilla Universal'!I46))="SINTOPE",500,IF('Datos Cliente'!$G$7="Libre",'Cartilla Universal'!G46,IF('Cartilla Universal'!I46=0,'Cartilla Universal'!G46,'Cartilla Universal'!I46))/$K$2)</f>
        <v>4.6825855513307983</v>
      </c>
    </row>
    <row r="46" spans="2:6" x14ac:dyDescent="0.2">
      <c r="B46" s="783" t="str">
        <f>'Cartilla Universal'!B47</f>
        <v>AMBULATORIA</v>
      </c>
      <c r="C46" s="783" t="str">
        <f>'Cartilla Universal'!C47</f>
        <v>EXAMENES Y PROCEDIMIENTOS</v>
      </c>
      <c r="D46" s="783" t="str">
        <f>'Cartilla Universal'!D47</f>
        <v>Hemodiálisis con insumos incluidos</v>
      </c>
      <c r="E46">
        <f>IF('Datos Cliente'!$G$7="Libre",'Cartilla Universal'!F47/100,IF('Cartilla Universal'!H47=0,'Cartilla Universal'!F47/100,'Cartilla Universal'!H47/100))</f>
        <v>0.9</v>
      </c>
      <c r="F46" s="789">
        <f>IF(IF('Datos Cliente'!$G$7="Libre",'Cartilla Universal'!G47,IF('Cartilla Universal'!I47=0,'Cartilla Universal'!G47,'Cartilla Universal'!I47))="SINTOPE",500,IF('Datos Cliente'!$G$7="Libre",'Cartilla Universal'!G47,IF('Cartilla Universal'!I47=0,'Cartilla Universal'!G47,'Cartilla Universal'!I47))/$K$2)</f>
        <v>2.5426235741444865</v>
      </c>
    </row>
    <row r="47" spans="2:6" x14ac:dyDescent="0.2">
      <c r="B47" s="783" t="str">
        <f>'Cartilla Universal'!B48</f>
        <v>AMBULATORIA</v>
      </c>
      <c r="C47" s="783" t="str">
        <f>'Cartilla Universal'!C48</f>
        <v>EXAMENES Y PROCEDIMIENTOS</v>
      </c>
      <c r="D47" s="783" t="str">
        <f>'Cartilla Universal'!D48</f>
        <v>Rodillera, bota larga ó corta de yeso</v>
      </c>
      <c r="E47">
        <f>IF('Datos Cliente'!$G$7="Libre",'Cartilla Universal'!F48/100,IF('Cartilla Universal'!H48=0,'Cartilla Universal'!F48/100,'Cartilla Universal'!H48/100))</f>
        <v>0.9</v>
      </c>
      <c r="F47" s="789">
        <f>IF(IF('Datos Cliente'!$G$7="Libre",'Cartilla Universal'!G48,IF('Cartilla Universal'!I48=0,'Cartilla Universal'!G48,'Cartilla Universal'!I48))="SINTOPE",500,IF('Datos Cliente'!$G$7="Libre",'Cartilla Universal'!G48,IF('Cartilla Universal'!I48=0,'Cartilla Universal'!G48,'Cartilla Universal'!I48))/$K$2)</f>
        <v>2.8876806083650188</v>
      </c>
    </row>
    <row r="48" spans="2:6" x14ac:dyDescent="0.2">
      <c r="B48" s="783" t="str">
        <f>'Cartilla Universal'!B49</f>
        <v>AMBULATORIA</v>
      </c>
      <c r="C48" s="783" t="str">
        <f>'Cartilla Universal'!C49</f>
        <v>IMAGENOLOGIA</v>
      </c>
      <c r="D48" s="783" t="str">
        <f>'Cartilla Universal'!D49</f>
        <v>Radiografía de tórax</v>
      </c>
      <c r="E48">
        <f>IF('Datos Cliente'!$G$7="Libre",'Cartilla Universal'!F49/100,IF('Cartilla Universal'!H49=0,'Cartilla Universal'!F49/100,'Cartilla Universal'!H49/100))</f>
        <v>0.9</v>
      </c>
      <c r="F48" s="789">
        <f>IF(IF('Datos Cliente'!$G$7="Libre",'Cartilla Universal'!G49,IF('Cartilla Universal'!I49=0,'Cartilla Universal'!G49,'Cartilla Universal'!I49))="SINTOPE",500,IF('Datos Cliente'!$G$7="Libre",'Cartilla Universal'!G49,IF('Cartilla Universal'!I49=0,'Cartilla Universal'!G49,'Cartilla Universal'!I49))/$K$2)</f>
        <v>1.2129657794676807</v>
      </c>
    </row>
    <row r="49" spans="2:6" x14ac:dyDescent="0.2">
      <c r="B49" s="783" t="str">
        <f>'Cartilla Universal'!B50</f>
        <v>AMBULATORIA</v>
      </c>
      <c r="C49" s="783" t="str">
        <f>'Cartilla Universal'!C50</f>
        <v>IMAGENOLOGIA</v>
      </c>
      <c r="D49" s="783" t="str">
        <f>'Cartilla Universal'!D50</f>
        <v>Mamografía bilateral</v>
      </c>
      <c r="E49">
        <f>IF('Datos Cliente'!$G$7="Libre",'Cartilla Universal'!F50/100,IF('Cartilla Universal'!H50=0,'Cartilla Universal'!F50/100,'Cartilla Universal'!H50/100))</f>
        <v>0.9</v>
      </c>
      <c r="F49" s="789">
        <f>IF(IF('Datos Cliente'!$G$7="Libre",'Cartilla Universal'!G50,IF('Cartilla Universal'!I50=0,'Cartilla Universal'!G50,'Cartilla Universal'!I50))="SINTOPE",500,IF('Datos Cliente'!$G$7="Libre",'Cartilla Universal'!G50,IF('Cartilla Universal'!I50=0,'Cartilla Universal'!G50,'Cartilla Universal'!I50))/$K$2)</f>
        <v>1.0516730038022815</v>
      </c>
    </row>
    <row r="50" spans="2:6" x14ac:dyDescent="0.2">
      <c r="B50" s="783" t="str">
        <f>'Cartilla Universal'!B51</f>
        <v>AMBULATORIA</v>
      </c>
      <c r="C50" s="783" t="str">
        <f>'Cartilla Universal'!C51</f>
        <v>IMAGENOLOGIA</v>
      </c>
      <c r="D50" s="783" t="str">
        <f>'Cartilla Universal'!D51</f>
        <v>Radiografía de brazo, codo, muñeca ó similares</v>
      </c>
      <c r="E50">
        <f>IF('Datos Cliente'!$G$7="Libre",'Cartilla Universal'!F51/100,IF('Cartilla Universal'!H51=0,'Cartilla Universal'!F51/100,'Cartilla Universal'!H51/100))</f>
        <v>0.9</v>
      </c>
      <c r="F50" s="789">
        <f>IF(IF('Datos Cliente'!$G$7="Libre",'Cartilla Universal'!G51,IF('Cartilla Universal'!I51=0,'Cartilla Universal'!G51,'Cartilla Universal'!I51))="SINTOPE",500,IF('Datos Cliente'!$G$7="Libre",'Cartilla Universal'!G51,IF('Cartilla Universal'!I51=0,'Cartilla Universal'!G51,'Cartilla Universal'!I51))/$K$2)</f>
        <v>0.42247148288973385</v>
      </c>
    </row>
    <row r="51" spans="2:6" x14ac:dyDescent="0.2">
      <c r="B51" s="783" t="str">
        <f>'Cartilla Universal'!B52</f>
        <v>AMBULATORIA</v>
      </c>
      <c r="C51" s="783" t="str">
        <f>'Cartilla Universal'!C52</f>
        <v>IMAGENOLOGIA</v>
      </c>
      <c r="D51" s="783" t="str">
        <f>'Cartilla Universal'!D52</f>
        <v>Tomografía axial</v>
      </c>
      <c r="E51">
        <f>IF('Datos Cliente'!$G$7="Libre",'Cartilla Universal'!F52/100,IF('Cartilla Universal'!H52=0,'Cartilla Universal'!F52/100,'Cartilla Universal'!H52/100))</f>
        <v>0.9</v>
      </c>
      <c r="F51" s="789">
        <f>IF(IF('Datos Cliente'!$G$7="Libre",'Cartilla Universal'!G52,IF('Cartilla Universal'!I52=0,'Cartilla Universal'!G52,'Cartilla Universal'!I52))="SINTOPE",500,IF('Datos Cliente'!$G$7="Libre",'Cartilla Universal'!G52,IF('Cartilla Universal'!I52=0,'Cartilla Universal'!G52,'Cartilla Universal'!I52))/$K$2)</f>
        <v>3.4687452471482891</v>
      </c>
    </row>
    <row r="52" spans="2:6" x14ac:dyDescent="0.2">
      <c r="B52" s="783" t="str">
        <f>'Cartilla Universal'!B53</f>
        <v>AMBULATORIA</v>
      </c>
      <c r="C52" s="783" t="str">
        <f>'Cartilla Universal'!C53</f>
        <v>IMAGENOLOGIA</v>
      </c>
      <c r="D52" s="783" t="str">
        <f>'Cartilla Universal'!D53</f>
        <v>Ecotomografía abdominal</v>
      </c>
      <c r="E52">
        <f>IF('Datos Cliente'!$G$7="Libre",'Cartilla Universal'!F53/100,IF('Cartilla Universal'!H53=0,'Cartilla Universal'!F53/100,'Cartilla Universal'!H53/100))</f>
        <v>0.9</v>
      </c>
      <c r="F52" s="789">
        <f>IF(IF('Datos Cliente'!$G$7="Libre",'Cartilla Universal'!G53,IF('Cartilla Universal'!I53=0,'Cartilla Universal'!G53,'Cartilla Universal'!I53))="SINTOPE",500,IF('Datos Cliente'!$G$7="Libre",'Cartilla Universal'!G53,IF('Cartilla Universal'!I53=0,'Cartilla Universal'!G53,'Cartilla Universal'!I53))/$K$2)</f>
        <v>1.2208365019011407</v>
      </c>
    </row>
    <row r="53" spans="2:6" x14ac:dyDescent="0.2">
      <c r="B53" s="783" t="str">
        <f>'Cartilla Universal'!B54</f>
        <v>AMBULATORIA</v>
      </c>
      <c r="C53" s="783" t="str">
        <f>'Cartilla Universal'!C54</f>
        <v>IMAGENOLOGIA</v>
      </c>
      <c r="D53" s="783" t="str">
        <f>'Cartilla Universal'!D54</f>
        <v>Ecotomografía ginecológica</v>
      </c>
      <c r="E53">
        <f>IF('Datos Cliente'!$G$7="Libre",'Cartilla Universal'!F54/100,IF('Cartilla Universal'!H54=0,'Cartilla Universal'!F54/100,'Cartilla Universal'!H54/100))</f>
        <v>0.9</v>
      </c>
      <c r="F53" s="789">
        <f>IF(IF('Datos Cliente'!$G$7="Libre",'Cartilla Universal'!G54,IF('Cartilla Universal'!I54=0,'Cartilla Universal'!G54,'Cartilla Universal'!I54))="SINTOPE",500,IF('Datos Cliente'!$G$7="Libre",'Cartilla Universal'!G54,IF('Cartilla Universal'!I54=0,'Cartilla Universal'!G54,'Cartilla Universal'!I54))/$K$2)</f>
        <v>0.64524714828897334</v>
      </c>
    </row>
    <row r="54" spans="2:6" x14ac:dyDescent="0.2">
      <c r="B54" s="783" t="str">
        <f>'Cartilla Universal'!B55</f>
        <v>AMBULATORIA</v>
      </c>
      <c r="C54" s="783" t="str">
        <f>'Cartilla Universal'!C55</f>
        <v>MEDICINA FISICA</v>
      </c>
      <c r="D54" s="783" t="str">
        <f>'Cartilla Universal'!D55</f>
        <v>Ejercicios respiratorios (A)</v>
      </c>
      <c r="E54">
        <f>IF('Datos Cliente'!$G$7="Libre",'Cartilla Universal'!F55/100,IF('Cartilla Universal'!H55=0,'Cartilla Universal'!F55/100,'Cartilla Universal'!H55/100))</f>
        <v>0.9</v>
      </c>
      <c r="F54" s="789">
        <f>IF(IF('Datos Cliente'!$G$7="Libre",'Cartilla Universal'!G55,IF('Cartilla Universal'!I55=0,'Cartilla Universal'!G55,'Cartilla Universal'!I55))="SINTOPE",500,IF('Datos Cliente'!$G$7="Libre",'Cartilla Universal'!G55,IF('Cartilla Universal'!I55=0,'Cartilla Universal'!G55,'Cartilla Universal'!I55))/$K$2)</f>
        <v>0.11787072243346007</v>
      </c>
    </row>
    <row r="55" spans="2:6" x14ac:dyDescent="0.2">
      <c r="B55" s="783" t="str">
        <f>'Cartilla Universal'!B56</f>
        <v>AMBULATORIA</v>
      </c>
      <c r="C55" s="783" t="str">
        <f>'Cartilla Universal'!C56</f>
        <v>MEDICINA FISICA</v>
      </c>
      <c r="D55" s="783" t="str">
        <f>'Cartilla Universal'!D56</f>
        <v>Reeducación motriz (A)</v>
      </c>
      <c r="E55">
        <f>IF('Datos Cliente'!$G$7="Libre",'Cartilla Universal'!F56/100,IF('Cartilla Universal'!H56=0,'Cartilla Universal'!F56/100,'Cartilla Universal'!H56/100))</f>
        <v>0.9</v>
      </c>
      <c r="F55" s="789">
        <f>IF(IF('Datos Cliente'!$G$7="Libre",'Cartilla Universal'!G56,IF('Cartilla Universal'!I56=0,'Cartilla Universal'!G56,'Cartilla Universal'!I56))="SINTOPE",500,IF('Datos Cliente'!$G$7="Libre",'Cartilla Universal'!G56,IF('Cartilla Universal'!I56=0,'Cartilla Universal'!G56,'Cartilla Universal'!I56))/$K$2)</f>
        <v>7.0342205323193921E-2</v>
      </c>
    </row>
    <row r="56" spans="2:6" x14ac:dyDescent="0.2">
      <c r="B56" s="783">
        <f>'Cartilla Universal'!B57</f>
        <v>0</v>
      </c>
      <c r="C56" s="783">
        <f>'Cartilla Universal'!C57</f>
        <v>0</v>
      </c>
      <c r="D56" s="783">
        <f>'Cartilla Universal'!D57</f>
        <v>0</v>
      </c>
      <c r="E56">
        <f>IF('Datos Cliente'!$G$7="Libre",'Cartilla Universal'!F57/100,IF('Cartilla Universal'!H57=0,'Cartilla Universal'!F57/100,'Cartilla Universal'!H57/100))</f>
        <v>0</v>
      </c>
      <c r="F56" s="789">
        <f>IF(IF('Datos Cliente'!$G$7="Libre",'Cartilla Universal'!G57,IF('Cartilla Universal'!I57=0,'Cartilla Universal'!G57,'Cartilla Universal'!I57))="SINTOPE",500,IF('Datos Cliente'!$G$7="Libre",'Cartilla Universal'!G57,IF('Cartilla Universal'!I57=0,'Cartilla Universal'!G57,'Cartilla Universal'!I57))/$K$2)</f>
        <v>0</v>
      </c>
    </row>
    <row r="57" spans="2:6" x14ac:dyDescent="0.2">
      <c r="B57" s="783">
        <f>'Cartilla Universal'!B58</f>
        <v>0</v>
      </c>
      <c r="C57" s="783">
        <f>'Cartilla Universal'!C58</f>
        <v>0</v>
      </c>
      <c r="D57" s="783">
        <f>'Cartilla Universal'!D58</f>
        <v>0</v>
      </c>
      <c r="E57">
        <f>IF('Datos Cliente'!$G$7="Libre",'Cartilla Universal'!F58/100,IF('Cartilla Universal'!H58=0,'Cartilla Universal'!F58/100,'Cartilla Universal'!H58/100))</f>
        <v>0</v>
      </c>
      <c r="F57" s="789">
        <f>IF(IF('Datos Cliente'!$G$7="Libre",'Cartilla Universal'!G58,IF('Cartilla Universal'!I58=0,'Cartilla Universal'!G58,'Cartilla Universal'!I58))="SINTOPE",500,IF('Datos Cliente'!$G$7="Libre",'Cartilla Universal'!G58,IF('Cartilla Universal'!I58=0,'Cartilla Universal'!G58,'Cartilla Universal'!I58))/$K$2)</f>
        <v>0</v>
      </c>
    </row>
    <row r="58" spans="2:6" x14ac:dyDescent="0.2">
      <c r="B58" s="783">
        <f>'Cartilla Universal'!B59</f>
        <v>0</v>
      </c>
      <c r="C58" s="783">
        <f>'Cartilla Universal'!C59</f>
        <v>0</v>
      </c>
      <c r="D58" s="783">
        <f>'Cartilla Universal'!D59</f>
        <v>0</v>
      </c>
      <c r="E58">
        <f>IF('Datos Cliente'!$G$7="Libre",'Cartilla Universal'!F59/100,IF('Cartilla Universal'!H59=0,'Cartilla Universal'!F59/100,'Cartilla Universal'!H59/100))</f>
        <v>0</v>
      </c>
      <c r="F58" s="789">
        <f>IF(IF('Datos Cliente'!$G$7="Libre",'Cartilla Universal'!G59,IF('Cartilla Universal'!I59=0,'Cartilla Universal'!G59,'Cartilla Universal'!I59))="SINTOPE",500,IF('Datos Cliente'!$G$7="Libre",'Cartilla Universal'!G59,IF('Cartilla Universal'!I59=0,'Cartilla Universal'!G59,'Cartilla Universal'!I59))/$K$2)</f>
        <v>0</v>
      </c>
    </row>
    <row r="59" spans="2:6" x14ac:dyDescent="0.2">
      <c r="B59" s="783">
        <f>'Cartilla Universal'!B60</f>
        <v>0</v>
      </c>
      <c r="C59" s="783">
        <f>'Cartilla Universal'!C60</f>
        <v>0</v>
      </c>
      <c r="D59" s="783">
        <f>'Cartilla Universal'!D60</f>
        <v>0</v>
      </c>
      <c r="E59">
        <f>IF('Datos Cliente'!$G$7="Libre",'Cartilla Universal'!F60/100,IF('Cartilla Universal'!H60=0,'Cartilla Universal'!F60/100,'Cartilla Universal'!H60/100))</f>
        <v>0</v>
      </c>
      <c r="F59" s="789">
        <f>IF(IF('Datos Cliente'!$G$7="Libre",'Cartilla Universal'!G60,IF('Cartilla Universal'!I60=0,'Cartilla Universal'!G60,'Cartilla Universal'!I60))="SINTOPE",500,IF('Datos Cliente'!$G$7="Libre",'Cartilla Universal'!G60,IF('Cartilla Universal'!I60=0,'Cartilla Universal'!G60,'Cartilla Universal'!I60))/$K$2)</f>
        <v>0</v>
      </c>
    </row>
    <row r="60" spans="2:6" x14ac:dyDescent="0.2">
      <c r="B60" s="783">
        <f>'Cartilla Universal'!B61</f>
        <v>0</v>
      </c>
      <c r="C60" s="783">
        <f>'Cartilla Universal'!C61</f>
        <v>0</v>
      </c>
      <c r="D60" s="783">
        <f>'Cartilla Universal'!D61</f>
        <v>0</v>
      </c>
      <c r="E60">
        <f>IF('Datos Cliente'!$G$7="Libre",'Cartilla Universal'!F61/100,IF('Cartilla Universal'!H61=0,'Cartilla Universal'!F61/100,'Cartilla Universal'!H61/100))</f>
        <v>0</v>
      </c>
      <c r="F60" s="789">
        <f>IF(IF('Datos Cliente'!$G$7="Libre",'Cartilla Universal'!G61,IF('Cartilla Universal'!I61=0,'Cartilla Universal'!G61,'Cartilla Universal'!I61))="SINTOPE",500,IF('Datos Cliente'!$G$7="Libre",'Cartilla Universal'!G61,IF('Cartilla Universal'!I61=0,'Cartilla Universal'!G61,'Cartilla Universal'!I61))/$K$2)</f>
        <v>0</v>
      </c>
    </row>
    <row r="61" spans="2:6" x14ac:dyDescent="0.2">
      <c r="B61" s="783">
        <f>'Cartilla Universal'!B62</f>
        <v>0</v>
      </c>
      <c r="C61" s="783">
        <f>'Cartilla Universal'!C62</f>
        <v>0</v>
      </c>
      <c r="D61" s="783">
        <f>'Cartilla Universal'!D62</f>
        <v>0</v>
      </c>
      <c r="E61">
        <f>IF('Datos Cliente'!$G$7="Libre",'Cartilla Universal'!F62/100,IF('Cartilla Universal'!H62=0,'Cartilla Universal'!F62/100,'Cartilla Universal'!H62/100))</f>
        <v>0</v>
      </c>
      <c r="F61" s="789">
        <f>IF(IF('Datos Cliente'!$G$7="Libre",'Cartilla Universal'!G62,IF('Cartilla Universal'!I62=0,'Cartilla Universal'!G62,'Cartilla Universal'!I62))="SINTOPE",500,IF('Datos Cliente'!$G$7="Libre",'Cartilla Universal'!G62,IF('Cartilla Universal'!I62=0,'Cartilla Universal'!G62,'Cartilla Universal'!I62))/$K$2)</f>
        <v>0</v>
      </c>
    </row>
    <row r="62" spans="2:6" x14ac:dyDescent="0.2">
      <c r="B62" s="783">
        <f>'Cartilla Universal'!B63</f>
        <v>0</v>
      </c>
      <c r="C62" s="783">
        <f>'Cartilla Universal'!C63</f>
        <v>0</v>
      </c>
      <c r="D62" s="783">
        <f>'Cartilla Universal'!D63</f>
        <v>0</v>
      </c>
      <c r="E62">
        <f>IF('Datos Cliente'!$G$7="Libre",'Cartilla Universal'!F63/100,IF('Cartilla Universal'!H63=0,'Cartilla Universal'!F63/100,'Cartilla Universal'!H63/100))</f>
        <v>0</v>
      </c>
      <c r="F62" s="789">
        <f>IF(IF('Datos Cliente'!$G$7="Libre",'Cartilla Universal'!G63,IF('Cartilla Universal'!I63=0,'Cartilla Universal'!G63,'Cartilla Universal'!I63))="SINTOPE",500,IF('Datos Cliente'!$G$7="Libre",'Cartilla Universal'!G63,IF('Cartilla Universal'!I63=0,'Cartilla Universal'!G63,'Cartilla Universal'!I63))/$K$2)</f>
        <v>0</v>
      </c>
    </row>
    <row r="63" spans="2:6" x14ac:dyDescent="0.2">
      <c r="B63" s="783">
        <f>'Cartilla Universal'!B64</f>
        <v>0</v>
      </c>
      <c r="C63" s="783">
        <f>'Cartilla Universal'!C64</f>
        <v>0</v>
      </c>
      <c r="D63" s="783">
        <f>'Cartilla Universal'!D64</f>
        <v>0</v>
      </c>
      <c r="E63">
        <f>IF('Datos Cliente'!$G$7="Libre",'Cartilla Universal'!F64/100,IF('Cartilla Universal'!H64=0,'Cartilla Universal'!F64/100,'Cartilla Universal'!H64/100))</f>
        <v>0</v>
      </c>
      <c r="F63" s="789">
        <f>IF(IF('Datos Cliente'!$G$7="Libre",'Cartilla Universal'!G64,IF('Cartilla Universal'!I64=0,'Cartilla Universal'!G64,'Cartilla Universal'!I64))="SINTOPE",500,IF('Datos Cliente'!$G$7="Libre",'Cartilla Universal'!G64,IF('Cartilla Universal'!I64=0,'Cartilla Universal'!G64,'Cartilla Universal'!I64))/$K$2)</f>
        <v>0</v>
      </c>
    </row>
    <row r="64" spans="2:6" x14ac:dyDescent="0.2">
      <c r="B64" s="783">
        <f>'Cartilla Universal'!B65</f>
        <v>0</v>
      </c>
      <c r="C64" s="783">
        <f>'Cartilla Universal'!C65</f>
        <v>0</v>
      </c>
      <c r="D64" s="783">
        <f>'Cartilla Universal'!D65</f>
        <v>0</v>
      </c>
      <c r="E64">
        <f>IF('Datos Cliente'!$G$7="Libre",'Cartilla Universal'!F65/100,IF('Cartilla Universal'!H65=0,'Cartilla Universal'!F65/100,'Cartilla Universal'!H65/100))</f>
        <v>0</v>
      </c>
      <c r="F64" s="789">
        <f>IF(IF('Datos Cliente'!$G$7="Libre",'Cartilla Universal'!G65,IF('Cartilla Universal'!I65=0,'Cartilla Universal'!G65,'Cartilla Universal'!I65))="SINTOPE",500,IF('Datos Cliente'!$G$7="Libre",'Cartilla Universal'!G65,IF('Cartilla Universal'!I65=0,'Cartilla Universal'!G65,'Cartilla Universal'!I65))/$K$2)</f>
        <v>0</v>
      </c>
    </row>
    <row r="65" spans="2:6" x14ac:dyDescent="0.2">
      <c r="B65" s="783">
        <f>'Cartilla Universal'!B66</f>
        <v>0</v>
      </c>
      <c r="C65" s="783">
        <f>'Cartilla Universal'!C66</f>
        <v>0</v>
      </c>
      <c r="D65" s="783">
        <f>'Cartilla Universal'!D66</f>
        <v>0</v>
      </c>
      <c r="E65">
        <f>IF('Datos Cliente'!$G$7="Libre",'Cartilla Universal'!F66/100,IF('Cartilla Universal'!H66=0,'Cartilla Universal'!F66/100,'Cartilla Universal'!H66/100))</f>
        <v>0</v>
      </c>
      <c r="F65" s="789">
        <f>IF(IF('Datos Cliente'!$G$7="Libre",'Cartilla Universal'!G66,IF('Cartilla Universal'!I66=0,'Cartilla Universal'!G66,'Cartilla Universal'!I66))="SINTOPE",500,IF('Datos Cliente'!$G$7="Libre",'Cartilla Universal'!G66,IF('Cartilla Universal'!I66=0,'Cartilla Universal'!G66,'Cartilla Universal'!I66))/$K$2)</f>
        <v>0</v>
      </c>
    </row>
    <row r="66" spans="2:6" x14ac:dyDescent="0.2">
      <c r="B66" s="783">
        <f>'Cartilla Universal'!B67</f>
        <v>0</v>
      </c>
      <c r="C66" s="783">
        <f>'Cartilla Universal'!C67</f>
        <v>0</v>
      </c>
      <c r="D66" s="783">
        <f>'Cartilla Universal'!D67</f>
        <v>0</v>
      </c>
      <c r="E66">
        <f>IF('Datos Cliente'!$G$7="Libre",'Cartilla Universal'!F67/100,IF('Cartilla Universal'!H67=0,'Cartilla Universal'!F67/100,'Cartilla Universal'!H67/100))</f>
        <v>0</v>
      </c>
      <c r="F66" s="789">
        <f>IF(IF('Datos Cliente'!$G$7="Libre",'Cartilla Universal'!G67,IF('Cartilla Universal'!I67=0,'Cartilla Universal'!G67,'Cartilla Universal'!I67))="SINTOPE",500,IF('Datos Cliente'!$G$7="Libre",'Cartilla Universal'!G67,IF('Cartilla Universal'!I67=0,'Cartilla Universal'!G67,'Cartilla Universal'!I67))/$K$2)</f>
        <v>0</v>
      </c>
    </row>
    <row r="67" spans="2:6" x14ac:dyDescent="0.2">
      <c r="B67" s="783">
        <f>'Cartilla Universal'!B68</f>
        <v>0</v>
      </c>
      <c r="C67" s="783">
        <f>'Cartilla Universal'!C68</f>
        <v>0</v>
      </c>
      <c r="D67" s="783">
        <f>'Cartilla Universal'!D68</f>
        <v>0</v>
      </c>
      <c r="E67">
        <f>IF('Datos Cliente'!$G$7="Libre",'Cartilla Universal'!F68/100,IF('Cartilla Universal'!H68=0,'Cartilla Universal'!F68/100,'Cartilla Universal'!H68/100))</f>
        <v>0</v>
      </c>
      <c r="F67" s="789">
        <f>IF(IF('Datos Cliente'!$G$7="Libre",'Cartilla Universal'!G68,IF('Cartilla Universal'!I68=0,'Cartilla Universal'!G68,'Cartilla Universal'!I68))="SINTOPE",500,IF('Datos Cliente'!$G$7="Libre",'Cartilla Universal'!G68,IF('Cartilla Universal'!I68=0,'Cartilla Universal'!G68,'Cartilla Universal'!I68))/$K$2)</f>
        <v>0</v>
      </c>
    </row>
    <row r="68" spans="2:6" x14ac:dyDescent="0.2">
      <c r="B68" s="783">
        <f>'Cartilla Universal'!B69</f>
        <v>0</v>
      </c>
      <c r="C68" s="783">
        <f>'Cartilla Universal'!C69</f>
        <v>0</v>
      </c>
      <c r="D68" s="783">
        <f>'Cartilla Universal'!D69</f>
        <v>0</v>
      </c>
      <c r="E68">
        <f>IF('Datos Cliente'!$G$7="Libre",'Cartilla Universal'!F69/100,IF('Cartilla Universal'!H69=0,'Cartilla Universal'!F69/100,'Cartilla Universal'!H69/100))</f>
        <v>0</v>
      </c>
      <c r="F68" s="789">
        <f>IF(IF('Datos Cliente'!$G$7="Libre",'Cartilla Universal'!G69,IF('Cartilla Universal'!I69=0,'Cartilla Universal'!G69,'Cartilla Universal'!I69))="SINTOPE",500,IF('Datos Cliente'!$G$7="Libre",'Cartilla Universal'!G69,IF('Cartilla Universal'!I69=0,'Cartilla Universal'!G69,'Cartilla Universal'!I69))/$K$2)</f>
        <v>0</v>
      </c>
    </row>
    <row r="69" spans="2:6" x14ac:dyDescent="0.2">
      <c r="B69" s="783">
        <f>'Cartilla Universal'!B70</f>
        <v>0</v>
      </c>
      <c r="C69" s="783">
        <f>'Cartilla Universal'!C70</f>
        <v>0</v>
      </c>
      <c r="D69" s="783">
        <f>'Cartilla Universal'!D70</f>
        <v>0</v>
      </c>
      <c r="E69">
        <f>IF('Datos Cliente'!$G$7="Libre",'Cartilla Universal'!F70/100,IF('Cartilla Universal'!H70=0,'Cartilla Universal'!F70/100,'Cartilla Universal'!H70/100))</f>
        <v>0</v>
      </c>
      <c r="F69" s="789">
        <f>IF(IF('Datos Cliente'!$G$7="Libre",'Cartilla Universal'!G70,IF('Cartilla Universal'!I70=0,'Cartilla Universal'!G70,'Cartilla Universal'!I70))="SINTOPE",500,IF('Datos Cliente'!$G$7="Libre",'Cartilla Universal'!G70,IF('Cartilla Universal'!I70=0,'Cartilla Universal'!G70,'Cartilla Universal'!I70))/$K$2)</f>
        <v>0</v>
      </c>
    </row>
    <row r="70" spans="2:6" x14ac:dyDescent="0.2">
      <c r="B70" s="783">
        <f>'Cartilla Universal'!B71</f>
        <v>0</v>
      </c>
      <c r="C70" s="783">
        <f>'Cartilla Universal'!C71</f>
        <v>0</v>
      </c>
      <c r="D70" s="783">
        <f>'Cartilla Universal'!D71</f>
        <v>0</v>
      </c>
      <c r="E70">
        <f>IF('Datos Cliente'!$G$7="Libre",'Cartilla Universal'!F71/100,IF('Cartilla Universal'!H71=0,'Cartilla Universal'!F71/100,'Cartilla Universal'!H71/100))</f>
        <v>0</v>
      </c>
      <c r="F70" s="789">
        <f>IF(IF('Datos Cliente'!$G$7="Libre",'Cartilla Universal'!G71,IF('Cartilla Universal'!I71=0,'Cartilla Universal'!G71,'Cartilla Universal'!I71))="SINTOPE",500,IF('Datos Cliente'!$G$7="Libre",'Cartilla Universal'!G71,IF('Cartilla Universal'!I71=0,'Cartilla Universal'!G71,'Cartilla Universal'!I71))/$K$2)</f>
        <v>0</v>
      </c>
    </row>
    <row r="71" spans="2:6" x14ac:dyDescent="0.2">
      <c r="B71" s="783">
        <f>'Cartilla Universal'!B72</f>
        <v>0</v>
      </c>
      <c r="C71" s="783">
        <f>'Cartilla Universal'!C72</f>
        <v>0</v>
      </c>
      <c r="D71" s="783">
        <f>'Cartilla Universal'!D72</f>
        <v>0</v>
      </c>
      <c r="E71">
        <f>IF('Datos Cliente'!$G$7="Libre",'Cartilla Universal'!F72/100,IF('Cartilla Universal'!H72=0,'Cartilla Universal'!F72/100,'Cartilla Universal'!H72/100))</f>
        <v>0</v>
      </c>
      <c r="F71" s="789">
        <f>IF(IF('Datos Cliente'!$G$7="Libre",'Cartilla Universal'!G72,IF('Cartilla Universal'!I72=0,'Cartilla Universal'!G72,'Cartilla Universal'!I72))="SINTOPE",500,IF('Datos Cliente'!$G$7="Libre",'Cartilla Universal'!G72,IF('Cartilla Universal'!I72=0,'Cartilla Universal'!G72,'Cartilla Universal'!I72))/$K$2)</f>
        <v>0</v>
      </c>
    </row>
    <row r="72" spans="2:6" x14ac:dyDescent="0.2">
      <c r="B72" s="783">
        <f>'Cartilla Universal'!B73</f>
        <v>0</v>
      </c>
      <c r="C72" s="783">
        <f>'Cartilla Universal'!C73</f>
        <v>0</v>
      </c>
      <c r="D72" s="783">
        <f>'Cartilla Universal'!D73</f>
        <v>0</v>
      </c>
      <c r="E72">
        <f>IF('Datos Cliente'!$G$7="Libre",'Cartilla Universal'!F73/100,IF('Cartilla Universal'!H73=0,'Cartilla Universal'!F73/100,'Cartilla Universal'!H73/100))</f>
        <v>0</v>
      </c>
      <c r="F72" s="789">
        <f>IF(IF('Datos Cliente'!$G$7="Libre",'Cartilla Universal'!G73,IF('Cartilla Universal'!I73=0,'Cartilla Universal'!G73,'Cartilla Universal'!I73))="SINTOPE",500,IF('Datos Cliente'!$G$7="Libre",'Cartilla Universal'!G73,IF('Cartilla Universal'!I73=0,'Cartilla Universal'!G73,'Cartilla Universal'!I73))/$K$2)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6"/>
  <sheetViews>
    <sheetView workbookViewId="0">
      <selection activeCell="C31" sqref="C31"/>
    </sheetView>
  </sheetViews>
  <sheetFormatPr baseColWidth="10" defaultRowHeight="12.75" x14ac:dyDescent="0.2"/>
  <cols>
    <col min="3" max="3" width="58" bestFit="1" customWidth="1"/>
    <col min="4" max="5" width="41" bestFit="1" customWidth="1"/>
    <col min="22" max="22" width="19.140625" bestFit="1" customWidth="1"/>
    <col min="23" max="23" width="21" bestFit="1" customWidth="1"/>
  </cols>
  <sheetData>
    <row r="2" spans="2:18" x14ac:dyDescent="0.2">
      <c r="R2" s="224"/>
    </row>
    <row r="3" spans="2:18" x14ac:dyDescent="0.2">
      <c r="B3" s="783" t="s">
        <v>654</v>
      </c>
      <c r="C3" s="783" t="s">
        <v>655</v>
      </c>
      <c r="D3" t="s">
        <v>660</v>
      </c>
      <c r="E3" s="224" t="s">
        <v>661</v>
      </c>
      <c r="F3" s="783" t="s">
        <v>656</v>
      </c>
      <c r="G3" s="783" t="s">
        <v>657</v>
      </c>
      <c r="H3" s="783" t="s">
        <v>658</v>
      </c>
      <c r="I3" s="783" t="s">
        <v>659</v>
      </c>
    </row>
    <row r="4" spans="2:18" x14ac:dyDescent="0.2">
      <c r="B4" s="783" t="s">
        <v>638</v>
      </c>
      <c r="C4" s="783" t="s">
        <v>639</v>
      </c>
      <c r="D4" s="783" t="s">
        <v>597</v>
      </c>
      <c r="E4" s="784" t="s">
        <v>597</v>
      </c>
      <c r="F4" s="783">
        <v>25</v>
      </c>
      <c r="G4" s="784" t="s">
        <v>670</v>
      </c>
      <c r="H4" s="783">
        <v>0</v>
      </c>
      <c r="I4" s="783">
        <v>0</v>
      </c>
    </row>
    <row r="5" spans="2:18" x14ac:dyDescent="0.2">
      <c r="B5" s="783" t="s">
        <v>638</v>
      </c>
      <c r="C5" s="783" t="s">
        <v>639</v>
      </c>
      <c r="D5" s="783" t="s">
        <v>598</v>
      </c>
      <c r="E5" s="783" t="s">
        <v>598</v>
      </c>
      <c r="F5" s="783">
        <v>20</v>
      </c>
      <c r="G5" s="783">
        <v>182315</v>
      </c>
      <c r="H5" s="783">
        <v>0</v>
      </c>
      <c r="I5" s="783">
        <v>0</v>
      </c>
    </row>
    <row r="6" spans="2:18" x14ac:dyDescent="0.2">
      <c r="B6" s="783" t="s">
        <v>638</v>
      </c>
      <c r="C6" s="783" t="s">
        <v>639</v>
      </c>
      <c r="D6" s="783" t="s">
        <v>599</v>
      </c>
      <c r="E6" s="783" t="s">
        <v>599</v>
      </c>
      <c r="F6" s="783">
        <v>20</v>
      </c>
      <c r="G6" s="783">
        <v>54375</v>
      </c>
      <c r="H6" s="783">
        <v>0</v>
      </c>
      <c r="I6" s="783">
        <v>0</v>
      </c>
    </row>
    <row r="7" spans="2:18" x14ac:dyDescent="0.2">
      <c r="B7" s="783" t="s">
        <v>638</v>
      </c>
      <c r="C7" s="783" t="s">
        <v>639</v>
      </c>
      <c r="D7" s="783" t="s">
        <v>600</v>
      </c>
      <c r="E7" s="783" t="s">
        <v>600</v>
      </c>
      <c r="F7" s="783">
        <v>20</v>
      </c>
      <c r="G7" s="783">
        <v>19309</v>
      </c>
      <c r="H7" s="783">
        <v>0</v>
      </c>
      <c r="I7" s="783">
        <v>0</v>
      </c>
    </row>
    <row r="8" spans="2:18" x14ac:dyDescent="0.2">
      <c r="B8" s="783" t="s">
        <v>638</v>
      </c>
      <c r="C8" s="783" t="s">
        <v>639</v>
      </c>
      <c r="D8" s="783" t="s">
        <v>601</v>
      </c>
      <c r="E8" s="783" t="s">
        <v>601</v>
      </c>
      <c r="F8" s="783">
        <v>20</v>
      </c>
      <c r="G8" s="783">
        <v>6906</v>
      </c>
      <c r="H8" s="783">
        <v>0</v>
      </c>
      <c r="I8" s="783">
        <v>0</v>
      </c>
    </row>
    <row r="9" spans="2:18" x14ac:dyDescent="0.2">
      <c r="B9" s="783" t="s">
        <v>638</v>
      </c>
      <c r="C9" s="783" t="s">
        <v>640</v>
      </c>
      <c r="D9" s="783" t="s">
        <v>602</v>
      </c>
      <c r="E9" s="783" t="s">
        <v>602</v>
      </c>
      <c r="F9" s="783">
        <v>25</v>
      </c>
      <c r="G9" s="784" t="s">
        <v>670</v>
      </c>
      <c r="H9" s="783">
        <v>0</v>
      </c>
      <c r="I9" s="783">
        <v>0</v>
      </c>
    </row>
    <row r="10" spans="2:18" x14ac:dyDescent="0.2">
      <c r="B10" s="783" t="s">
        <v>638</v>
      </c>
      <c r="C10" s="783" t="s">
        <v>640</v>
      </c>
      <c r="D10" s="783" t="s">
        <v>598</v>
      </c>
      <c r="E10" s="783" t="s">
        <v>598</v>
      </c>
      <c r="F10" s="783">
        <v>20</v>
      </c>
      <c r="G10" s="783">
        <v>226930</v>
      </c>
      <c r="H10" s="783">
        <v>0</v>
      </c>
      <c r="I10" s="783">
        <v>0</v>
      </c>
    </row>
    <row r="11" spans="2:18" x14ac:dyDescent="0.2">
      <c r="B11" s="783" t="s">
        <v>638</v>
      </c>
      <c r="C11" s="783" t="s">
        <v>640</v>
      </c>
      <c r="D11" s="783" t="s">
        <v>599</v>
      </c>
      <c r="E11" s="783" t="s">
        <v>599</v>
      </c>
      <c r="F11" s="783">
        <v>20</v>
      </c>
      <c r="G11" s="783">
        <v>54375</v>
      </c>
      <c r="H11" s="783">
        <v>0</v>
      </c>
      <c r="I11" s="783">
        <v>0</v>
      </c>
    </row>
    <row r="12" spans="2:18" x14ac:dyDescent="0.2">
      <c r="B12" s="783" t="s">
        <v>638</v>
      </c>
      <c r="C12" s="783" t="s">
        <v>640</v>
      </c>
      <c r="D12" s="783" t="s">
        <v>600</v>
      </c>
      <c r="E12" s="783" t="s">
        <v>600</v>
      </c>
      <c r="F12" s="783">
        <v>20</v>
      </c>
      <c r="G12" s="783">
        <v>19309</v>
      </c>
      <c r="H12" s="783">
        <v>0</v>
      </c>
      <c r="I12" s="783">
        <v>0</v>
      </c>
    </row>
    <row r="13" spans="2:18" x14ac:dyDescent="0.2">
      <c r="B13" s="783" t="s">
        <v>638</v>
      </c>
      <c r="C13" s="783" t="s">
        <v>640</v>
      </c>
      <c r="D13" s="783" t="s">
        <v>601</v>
      </c>
      <c r="E13" s="783" t="s">
        <v>601</v>
      </c>
      <c r="F13" s="783">
        <v>20</v>
      </c>
      <c r="G13" s="783">
        <v>6906</v>
      </c>
      <c r="H13" s="783">
        <v>0</v>
      </c>
      <c r="I13" s="783">
        <v>0</v>
      </c>
    </row>
    <row r="14" spans="2:18" x14ac:dyDescent="0.2">
      <c r="B14" s="783" t="s">
        <v>638</v>
      </c>
      <c r="C14" s="783" t="s">
        <v>641</v>
      </c>
      <c r="D14" s="783" t="s">
        <v>603</v>
      </c>
      <c r="E14" s="783" t="s">
        <v>603</v>
      </c>
      <c r="F14" s="783">
        <v>100</v>
      </c>
      <c r="G14" s="784" t="s">
        <v>670</v>
      </c>
      <c r="H14" s="783">
        <v>100</v>
      </c>
      <c r="I14" s="784" t="s">
        <v>670</v>
      </c>
    </row>
    <row r="15" spans="2:18" x14ac:dyDescent="0.2">
      <c r="B15" s="783" t="s">
        <v>638</v>
      </c>
      <c r="C15" s="783" t="s">
        <v>641</v>
      </c>
      <c r="D15" s="783" t="s">
        <v>598</v>
      </c>
      <c r="E15" s="783" t="s">
        <v>598</v>
      </c>
      <c r="F15" s="783">
        <v>80</v>
      </c>
      <c r="G15" s="783">
        <v>908822</v>
      </c>
      <c r="H15" s="783">
        <v>80</v>
      </c>
      <c r="I15" s="784" t="s">
        <v>670</v>
      </c>
    </row>
    <row r="16" spans="2:18" x14ac:dyDescent="0.2">
      <c r="B16" s="783" t="s">
        <v>638</v>
      </c>
      <c r="C16" s="783" t="s">
        <v>642</v>
      </c>
      <c r="D16" s="783" t="s">
        <v>604</v>
      </c>
      <c r="E16" s="783" t="s">
        <v>604</v>
      </c>
      <c r="F16" s="783">
        <v>100</v>
      </c>
      <c r="G16" s="784" t="s">
        <v>670</v>
      </c>
      <c r="H16" s="783">
        <v>100</v>
      </c>
      <c r="I16" s="784" t="s">
        <v>670</v>
      </c>
    </row>
    <row r="17" spans="2:9" x14ac:dyDescent="0.2">
      <c r="B17" s="783" t="s">
        <v>638</v>
      </c>
      <c r="C17" s="783" t="s">
        <v>642</v>
      </c>
      <c r="D17" s="783" t="s">
        <v>598</v>
      </c>
      <c r="E17" s="783" t="s">
        <v>598</v>
      </c>
      <c r="F17" s="783">
        <v>80</v>
      </c>
      <c r="G17" s="783">
        <v>1707290</v>
      </c>
      <c r="H17" s="783">
        <v>80</v>
      </c>
      <c r="I17" s="784" t="s">
        <v>670</v>
      </c>
    </row>
    <row r="18" spans="2:9" x14ac:dyDescent="0.2">
      <c r="B18" s="783" t="s">
        <v>638</v>
      </c>
      <c r="C18" s="783" t="s">
        <v>643</v>
      </c>
      <c r="D18" s="783" t="s">
        <v>605</v>
      </c>
      <c r="E18" s="783" t="s">
        <v>605</v>
      </c>
      <c r="F18" s="783">
        <v>100</v>
      </c>
      <c r="G18" s="784" t="s">
        <v>670</v>
      </c>
      <c r="H18" s="783">
        <v>100</v>
      </c>
      <c r="I18" s="784" t="s">
        <v>670</v>
      </c>
    </row>
    <row r="19" spans="2:9" x14ac:dyDescent="0.2">
      <c r="B19" s="783" t="s">
        <v>638</v>
      </c>
      <c r="C19" s="783" t="s">
        <v>643</v>
      </c>
      <c r="D19" s="783" t="s">
        <v>598</v>
      </c>
      <c r="E19" s="783" t="s">
        <v>598</v>
      </c>
      <c r="F19" s="783">
        <v>80</v>
      </c>
      <c r="G19" s="783">
        <v>1284251</v>
      </c>
      <c r="H19" s="783">
        <v>80</v>
      </c>
      <c r="I19" s="784" t="s">
        <v>670</v>
      </c>
    </row>
    <row r="20" spans="2:9" x14ac:dyDescent="0.2">
      <c r="B20" s="783" t="s">
        <v>638</v>
      </c>
      <c r="C20" s="783" t="s">
        <v>644</v>
      </c>
      <c r="D20" s="783" t="s">
        <v>606</v>
      </c>
      <c r="E20" s="783" t="s">
        <v>606</v>
      </c>
      <c r="F20" s="783">
        <v>100</v>
      </c>
      <c r="G20" s="784" t="s">
        <v>670</v>
      </c>
      <c r="H20" s="783">
        <v>100</v>
      </c>
      <c r="I20" s="784" t="s">
        <v>670</v>
      </c>
    </row>
    <row r="21" spans="2:9" x14ac:dyDescent="0.2">
      <c r="B21" s="783" t="s">
        <v>638</v>
      </c>
      <c r="C21" s="783" t="s">
        <v>644</v>
      </c>
      <c r="D21" s="783" t="s">
        <v>598</v>
      </c>
      <c r="E21" s="783" t="s">
        <v>598</v>
      </c>
      <c r="F21" s="783">
        <v>80</v>
      </c>
      <c r="G21" s="783">
        <v>466854</v>
      </c>
      <c r="H21" s="783">
        <v>80</v>
      </c>
      <c r="I21" s="784" t="s">
        <v>670</v>
      </c>
    </row>
    <row r="22" spans="2:9" x14ac:dyDescent="0.2">
      <c r="B22" s="783" t="s">
        <v>638</v>
      </c>
      <c r="C22" s="783" t="s">
        <v>645</v>
      </c>
      <c r="D22" s="783" t="s">
        <v>607</v>
      </c>
      <c r="E22" s="783" t="s">
        <v>607</v>
      </c>
      <c r="F22" s="783">
        <v>100</v>
      </c>
      <c r="G22" s="784" t="s">
        <v>670</v>
      </c>
      <c r="H22" s="783">
        <v>100</v>
      </c>
      <c r="I22" s="784" t="s">
        <v>670</v>
      </c>
    </row>
    <row r="23" spans="2:9" x14ac:dyDescent="0.2">
      <c r="B23" s="783" t="s">
        <v>638</v>
      </c>
      <c r="C23" s="783" t="s">
        <v>645</v>
      </c>
      <c r="D23" s="783" t="s">
        <v>598</v>
      </c>
      <c r="E23" s="783" t="s">
        <v>598</v>
      </c>
      <c r="F23" s="783">
        <v>80</v>
      </c>
      <c r="G23" s="783">
        <v>4947921</v>
      </c>
      <c r="H23" s="783">
        <v>80</v>
      </c>
      <c r="I23" s="784" t="s">
        <v>670</v>
      </c>
    </row>
    <row r="24" spans="2:9" x14ac:dyDescent="0.2">
      <c r="B24" s="783" t="s">
        <v>638</v>
      </c>
      <c r="C24" s="783" t="s">
        <v>646</v>
      </c>
      <c r="D24" s="783" t="s">
        <v>608</v>
      </c>
      <c r="E24" s="783" t="s">
        <v>608</v>
      </c>
      <c r="F24" s="783">
        <v>100</v>
      </c>
      <c r="G24" s="784" t="s">
        <v>670</v>
      </c>
      <c r="H24" s="783">
        <v>100</v>
      </c>
      <c r="I24" s="784" t="s">
        <v>670</v>
      </c>
    </row>
    <row r="25" spans="2:9" x14ac:dyDescent="0.2">
      <c r="B25" s="783" t="s">
        <v>638</v>
      </c>
      <c r="C25" s="783" t="s">
        <v>646</v>
      </c>
      <c r="D25" s="783" t="s">
        <v>598</v>
      </c>
      <c r="E25" s="783" t="s">
        <v>598</v>
      </c>
      <c r="F25" s="783">
        <v>80</v>
      </c>
      <c r="G25" s="783">
        <v>2393863</v>
      </c>
      <c r="H25" s="783">
        <v>80</v>
      </c>
      <c r="I25" s="784" t="s">
        <v>670</v>
      </c>
    </row>
    <row r="26" spans="2:9" x14ac:dyDescent="0.2">
      <c r="B26" s="783" t="s">
        <v>638</v>
      </c>
      <c r="C26" s="783" t="s">
        <v>647</v>
      </c>
      <c r="D26" s="783" t="s">
        <v>609</v>
      </c>
      <c r="E26" s="783" t="s">
        <v>609</v>
      </c>
      <c r="F26" s="783">
        <v>100</v>
      </c>
      <c r="G26" s="784" t="s">
        <v>670</v>
      </c>
      <c r="H26" s="783">
        <v>100</v>
      </c>
      <c r="I26" s="784" t="s">
        <v>670</v>
      </c>
    </row>
    <row r="27" spans="2:9" x14ac:dyDescent="0.2">
      <c r="B27" s="783" t="s">
        <v>638</v>
      </c>
      <c r="C27" s="783" t="s">
        <v>647</v>
      </c>
      <c r="D27" s="783" t="s">
        <v>610</v>
      </c>
      <c r="E27" s="783" t="s">
        <v>610</v>
      </c>
      <c r="F27" s="783">
        <v>25</v>
      </c>
      <c r="G27" s="784" t="s">
        <v>670</v>
      </c>
      <c r="H27" s="783">
        <v>0</v>
      </c>
      <c r="I27" s="783">
        <v>0</v>
      </c>
    </row>
    <row r="28" spans="2:9" x14ac:dyDescent="0.2">
      <c r="B28" s="783" t="s">
        <v>638</v>
      </c>
      <c r="C28" s="783" t="s">
        <v>647</v>
      </c>
      <c r="D28" s="783" t="s">
        <v>611</v>
      </c>
      <c r="E28" s="783" t="s">
        <v>611</v>
      </c>
      <c r="F28" s="783">
        <v>100</v>
      </c>
      <c r="G28" s="784" t="s">
        <v>670</v>
      </c>
      <c r="H28" s="783">
        <v>100</v>
      </c>
      <c r="I28" s="784" t="s">
        <v>670</v>
      </c>
    </row>
    <row r="29" spans="2:9" x14ac:dyDescent="0.2">
      <c r="B29" s="783" t="s">
        <v>638</v>
      </c>
      <c r="C29" s="783" t="s">
        <v>647</v>
      </c>
      <c r="D29" s="783" t="s">
        <v>612</v>
      </c>
      <c r="E29" s="783" t="s">
        <v>612</v>
      </c>
      <c r="F29" s="783">
        <v>25</v>
      </c>
      <c r="G29" s="784" t="s">
        <v>670</v>
      </c>
      <c r="H29" s="783">
        <v>0</v>
      </c>
      <c r="I29" s="783">
        <v>0</v>
      </c>
    </row>
    <row r="30" spans="2:9" x14ac:dyDescent="0.2">
      <c r="B30" s="783" t="s">
        <v>638</v>
      </c>
      <c r="C30" s="783" t="s">
        <v>647</v>
      </c>
      <c r="D30" s="783" t="s">
        <v>613</v>
      </c>
      <c r="E30" s="783" t="s">
        <v>613</v>
      </c>
      <c r="F30" s="783">
        <v>25</v>
      </c>
      <c r="G30" s="784" t="s">
        <v>670</v>
      </c>
      <c r="H30" s="783">
        <v>0</v>
      </c>
      <c r="I30" s="783">
        <v>0</v>
      </c>
    </row>
    <row r="31" spans="2:9" x14ac:dyDescent="0.2">
      <c r="B31" s="783" t="s">
        <v>638</v>
      </c>
      <c r="C31" s="783" t="s">
        <v>648</v>
      </c>
      <c r="D31" s="783" t="s">
        <v>614</v>
      </c>
      <c r="E31" s="783" t="s">
        <v>614</v>
      </c>
      <c r="F31" s="783">
        <v>100</v>
      </c>
      <c r="G31" s="784" t="s">
        <v>670</v>
      </c>
      <c r="H31" s="783">
        <v>100</v>
      </c>
      <c r="I31" s="784" t="s">
        <v>670</v>
      </c>
    </row>
    <row r="32" spans="2:9" x14ac:dyDescent="0.2">
      <c r="B32" s="783" t="s">
        <v>638</v>
      </c>
      <c r="C32" s="783" t="s">
        <v>648</v>
      </c>
      <c r="D32" s="783" t="s">
        <v>615</v>
      </c>
      <c r="E32" s="783" t="s">
        <v>615</v>
      </c>
      <c r="F32" s="783">
        <v>100</v>
      </c>
      <c r="G32" s="784" t="s">
        <v>670</v>
      </c>
      <c r="H32" s="783">
        <v>100</v>
      </c>
      <c r="I32" s="784" t="s">
        <v>670</v>
      </c>
    </row>
    <row r="33" spans="2:9" x14ac:dyDescent="0.2">
      <c r="B33" s="783" t="s">
        <v>649</v>
      </c>
      <c r="C33" s="783" t="s">
        <v>650</v>
      </c>
      <c r="D33" s="783" t="s">
        <v>616</v>
      </c>
      <c r="E33" s="783" t="s">
        <v>616</v>
      </c>
      <c r="F33" s="783">
        <v>90</v>
      </c>
      <c r="G33" s="783">
        <v>27386</v>
      </c>
      <c r="H33" s="783">
        <v>0</v>
      </c>
      <c r="I33" s="783">
        <v>0</v>
      </c>
    </row>
    <row r="34" spans="2:9" x14ac:dyDescent="0.2">
      <c r="B34" s="783" t="s">
        <v>649</v>
      </c>
      <c r="C34" s="783" t="s">
        <v>650</v>
      </c>
      <c r="D34" s="783" t="s">
        <v>617</v>
      </c>
      <c r="E34" s="783" t="s">
        <v>617</v>
      </c>
      <c r="F34" s="783">
        <v>90</v>
      </c>
      <c r="G34" s="783">
        <v>15615</v>
      </c>
      <c r="H34" s="783">
        <v>0</v>
      </c>
      <c r="I34" s="783">
        <v>0</v>
      </c>
    </row>
    <row r="35" spans="2:9" x14ac:dyDescent="0.2">
      <c r="B35" s="783" t="s">
        <v>649</v>
      </c>
      <c r="C35" s="783" t="s">
        <v>651</v>
      </c>
      <c r="D35" s="783" t="s">
        <v>7</v>
      </c>
      <c r="E35" s="783" t="s">
        <v>7</v>
      </c>
      <c r="F35" s="783">
        <v>90</v>
      </c>
      <c r="G35" s="783">
        <v>4255</v>
      </c>
      <c r="H35" s="783">
        <v>70</v>
      </c>
      <c r="I35" s="784" t="s">
        <v>670</v>
      </c>
    </row>
    <row r="36" spans="2:9" x14ac:dyDescent="0.2">
      <c r="B36" s="783" t="s">
        <v>649</v>
      </c>
      <c r="C36" s="783" t="s">
        <v>651</v>
      </c>
      <c r="D36" s="783" t="s">
        <v>618</v>
      </c>
      <c r="E36" s="783" t="s">
        <v>618</v>
      </c>
      <c r="F36" s="783">
        <v>90</v>
      </c>
      <c r="G36" s="783">
        <v>9350</v>
      </c>
      <c r="H36" s="783">
        <v>70</v>
      </c>
      <c r="I36" s="784" t="s">
        <v>670</v>
      </c>
    </row>
    <row r="37" spans="2:9" x14ac:dyDescent="0.2">
      <c r="B37" s="783" t="s">
        <v>649</v>
      </c>
      <c r="C37" s="783" t="s">
        <v>651</v>
      </c>
      <c r="D37" s="783" t="s">
        <v>619</v>
      </c>
      <c r="E37" s="783" t="s">
        <v>619</v>
      </c>
      <c r="F37" s="783">
        <v>90</v>
      </c>
      <c r="G37" s="783">
        <v>10109</v>
      </c>
      <c r="H37" s="783">
        <v>70</v>
      </c>
      <c r="I37" s="784" t="s">
        <v>670</v>
      </c>
    </row>
    <row r="38" spans="2:9" x14ac:dyDescent="0.2">
      <c r="B38" s="783" t="s">
        <v>649</v>
      </c>
      <c r="C38" s="783" t="s">
        <v>651</v>
      </c>
      <c r="D38" s="783" t="s">
        <v>10</v>
      </c>
      <c r="E38" s="783" t="s">
        <v>10</v>
      </c>
      <c r="F38" s="783">
        <v>90</v>
      </c>
      <c r="G38" s="783">
        <v>4682</v>
      </c>
      <c r="H38" s="783">
        <v>70</v>
      </c>
      <c r="I38" s="784" t="s">
        <v>670</v>
      </c>
    </row>
    <row r="39" spans="2:9" x14ac:dyDescent="0.2">
      <c r="B39" s="783" t="s">
        <v>649</v>
      </c>
      <c r="C39" s="783" t="s">
        <v>651</v>
      </c>
      <c r="D39" s="783" t="s">
        <v>620</v>
      </c>
      <c r="E39" s="783" t="s">
        <v>620</v>
      </c>
      <c r="F39" s="783">
        <v>90</v>
      </c>
      <c r="G39" s="783">
        <v>2795</v>
      </c>
      <c r="H39" s="783">
        <v>70</v>
      </c>
      <c r="I39" s="784" t="s">
        <v>670</v>
      </c>
    </row>
    <row r="40" spans="2:9" x14ac:dyDescent="0.2">
      <c r="B40" s="783" t="s">
        <v>649</v>
      </c>
      <c r="C40" s="783" t="s">
        <v>651</v>
      </c>
      <c r="D40" s="783" t="s">
        <v>621</v>
      </c>
      <c r="E40" s="783" t="s">
        <v>621</v>
      </c>
      <c r="F40" s="783">
        <v>90</v>
      </c>
      <c r="G40" s="783">
        <v>54888</v>
      </c>
      <c r="H40" s="783">
        <v>70</v>
      </c>
      <c r="I40" s="784" t="s">
        <v>670</v>
      </c>
    </row>
    <row r="41" spans="2:9" x14ac:dyDescent="0.2">
      <c r="B41" s="783" t="s">
        <v>649</v>
      </c>
      <c r="C41" s="783" t="s">
        <v>651</v>
      </c>
      <c r="D41" s="783" t="s">
        <v>622</v>
      </c>
      <c r="E41" s="783" t="s">
        <v>622</v>
      </c>
      <c r="F41" s="783">
        <v>90</v>
      </c>
      <c r="G41" s="783">
        <v>10517</v>
      </c>
      <c r="H41" s="783">
        <v>70</v>
      </c>
      <c r="I41" s="784" t="s">
        <v>670</v>
      </c>
    </row>
    <row r="42" spans="2:9" x14ac:dyDescent="0.2">
      <c r="B42" s="783" t="s">
        <v>649</v>
      </c>
      <c r="C42" s="783" t="s">
        <v>651</v>
      </c>
      <c r="D42" s="783" t="s">
        <v>623</v>
      </c>
      <c r="E42" s="783" t="s">
        <v>623</v>
      </c>
      <c r="F42" s="783">
        <v>90</v>
      </c>
      <c r="G42" s="783">
        <v>16408</v>
      </c>
      <c r="H42" s="783">
        <v>70</v>
      </c>
      <c r="I42" s="784" t="s">
        <v>670</v>
      </c>
    </row>
    <row r="43" spans="2:9" x14ac:dyDescent="0.2">
      <c r="B43" s="783" t="s">
        <v>649</v>
      </c>
      <c r="C43" s="783" t="s">
        <v>651</v>
      </c>
      <c r="D43" s="783" t="s">
        <v>624</v>
      </c>
      <c r="E43" s="783" t="s">
        <v>624</v>
      </c>
      <c r="F43" s="783">
        <v>90</v>
      </c>
      <c r="G43" s="783">
        <v>7625</v>
      </c>
      <c r="H43" s="783">
        <v>70</v>
      </c>
      <c r="I43" s="784" t="s">
        <v>670</v>
      </c>
    </row>
    <row r="44" spans="2:9" x14ac:dyDescent="0.2">
      <c r="B44" s="783" t="s">
        <v>649</v>
      </c>
      <c r="C44" s="783" t="s">
        <v>651</v>
      </c>
      <c r="D44" s="783" t="s">
        <v>625</v>
      </c>
      <c r="E44" s="783" t="s">
        <v>625</v>
      </c>
      <c r="F44" s="783">
        <v>90</v>
      </c>
      <c r="G44" s="783">
        <v>8022</v>
      </c>
      <c r="H44" s="783">
        <v>70</v>
      </c>
      <c r="I44" s="784" t="s">
        <v>670</v>
      </c>
    </row>
    <row r="45" spans="2:9" x14ac:dyDescent="0.2">
      <c r="B45" s="783" t="s">
        <v>649</v>
      </c>
      <c r="C45" s="783" t="s">
        <v>651</v>
      </c>
      <c r="D45" s="783" t="s">
        <v>626</v>
      </c>
      <c r="E45" s="783" t="s">
        <v>626</v>
      </c>
      <c r="F45" s="783">
        <v>90</v>
      </c>
      <c r="G45" s="783">
        <v>72989</v>
      </c>
      <c r="H45" s="783">
        <v>70</v>
      </c>
      <c r="I45" s="784" t="s">
        <v>670</v>
      </c>
    </row>
    <row r="46" spans="2:9" x14ac:dyDescent="0.2">
      <c r="B46" s="783" t="s">
        <v>649</v>
      </c>
      <c r="C46" s="783" t="s">
        <v>651</v>
      </c>
      <c r="D46" s="783" t="s">
        <v>627</v>
      </c>
      <c r="E46" s="783" t="s">
        <v>627</v>
      </c>
      <c r="F46" s="783">
        <v>90</v>
      </c>
      <c r="G46" s="783">
        <v>123152</v>
      </c>
      <c r="H46" s="783">
        <v>70</v>
      </c>
      <c r="I46" s="784" t="s">
        <v>670</v>
      </c>
    </row>
    <row r="47" spans="2:9" x14ac:dyDescent="0.2">
      <c r="B47" s="783" t="s">
        <v>649</v>
      </c>
      <c r="C47" s="783" t="s">
        <v>651</v>
      </c>
      <c r="D47" s="783" t="s">
        <v>628</v>
      </c>
      <c r="E47" s="783" t="s">
        <v>628</v>
      </c>
      <c r="F47" s="783">
        <v>90</v>
      </c>
      <c r="G47" s="783">
        <v>66871</v>
      </c>
      <c r="H47" s="783">
        <v>70</v>
      </c>
      <c r="I47" s="784" t="s">
        <v>670</v>
      </c>
    </row>
    <row r="48" spans="2:9" x14ac:dyDescent="0.2">
      <c r="B48" s="783" t="s">
        <v>649</v>
      </c>
      <c r="C48" s="783" t="s">
        <v>651</v>
      </c>
      <c r="D48" s="783" t="s">
        <v>629</v>
      </c>
      <c r="E48" s="783" t="s">
        <v>629</v>
      </c>
      <c r="F48" s="783">
        <v>90</v>
      </c>
      <c r="G48" s="783">
        <v>75946</v>
      </c>
      <c r="H48" s="783">
        <v>70</v>
      </c>
      <c r="I48" s="784" t="s">
        <v>670</v>
      </c>
    </row>
    <row r="49" spans="2:9" x14ac:dyDescent="0.2">
      <c r="B49" s="783" t="s">
        <v>649</v>
      </c>
      <c r="C49" s="783" t="s">
        <v>652</v>
      </c>
      <c r="D49" s="783" t="s">
        <v>630</v>
      </c>
      <c r="E49" s="783" t="s">
        <v>630</v>
      </c>
      <c r="F49" s="783">
        <v>90</v>
      </c>
      <c r="G49" s="783">
        <v>31901</v>
      </c>
      <c r="H49" s="783">
        <v>70</v>
      </c>
      <c r="I49" s="784" t="s">
        <v>670</v>
      </c>
    </row>
    <row r="50" spans="2:9" x14ac:dyDescent="0.2">
      <c r="B50" s="783" t="s">
        <v>649</v>
      </c>
      <c r="C50" s="783" t="s">
        <v>652</v>
      </c>
      <c r="D50" s="783" t="s">
        <v>631</v>
      </c>
      <c r="E50" s="783" t="s">
        <v>631</v>
      </c>
      <c r="F50" s="783">
        <v>90</v>
      </c>
      <c r="G50" s="783">
        <v>27659</v>
      </c>
      <c r="H50" s="783">
        <v>70</v>
      </c>
      <c r="I50" s="784" t="s">
        <v>670</v>
      </c>
    </row>
    <row r="51" spans="2:9" x14ac:dyDescent="0.2">
      <c r="B51" s="783" t="s">
        <v>649</v>
      </c>
      <c r="C51" s="783" t="s">
        <v>652</v>
      </c>
      <c r="D51" s="783" t="s">
        <v>632</v>
      </c>
      <c r="E51" s="783" t="s">
        <v>632</v>
      </c>
      <c r="F51" s="783">
        <v>90</v>
      </c>
      <c r="G51" s="783">
        <v>11111</v>
      </c>
      <c r="H51" s="783">
        <v>70</v>
      </c>
      <c r="I51" s="784" t="s">
        <v>670</v>
      </c>
    </row>
    <row r="52" spans="2:9" x14ac:dyDescent="0.2">
      <c r="B52" s="783" t="s">
        <v>649</v>
      </c>
      <c r="C52" s="783" t="s">
        <v>652</v>
      </c>
      <c r="D52" s="783" t="s">
        <v>633</v>
      </c>
      <c r="E52" s="783" t="s">
        <v>633</v>
      </c>
      <c r="F52" s="783">
        <v>90</v>
      </c>
      <c r="G52" s="783">
        <v>91228</v>
      </c>
      <c r="H52" s="783">
        <v>70</v>
      </c>
      <c r="I52" s="784" t="s">
        <v>670</v>
      </c>
    </row>
    <row r="53" spans="2:9" x14ac:dyDescent="0.2">
      <c r="B53" s="783" t="s">
        <v>649</v>
      </c>
      <c r="C53" s="783" t="s">
        <v>652</v>
      </c>
      <c r="D53" s="783" t="s">
        <v>634</v>
      </c>
      <c r="E53" s="783" t="s">
        <v>634</v>
      </c>
      <c r="F53" s="783">
        <v>90</v>
      </c>
      <c r="G53" s="783">
        <v>32108</v>
      </c>
      <c r="H53" s="783">
        <v>70</v>
      </c>
      <c r="I53" s="784" t="s">
        <v>670</v>
      </c>
    </row>
    <row r="54" spans="2:9" x14ac:dyDescent="0.2">
      <c r="B54" s="783" t="s">
        <v>649</v>
      </c>
      <c r="C54" s="783" t="s">
        <v>652</v>
      </c>
      <c r="D54" s="783" t="s">
        <v>635</v>
      </c>
      <c r="E54" s="783" t="s">
        <v>635</v>
      </c>
      <c r="F54" s="783">
        <v>90</v>
      </c>
      <c r="G54" s="783">
        <v>16970</v>
      </c>
      <c r="H54" s="783">
        <v>70</v>
      </c>
      <c r="I54" s="784" t="s">
        <v>670</v>
      </c>
    </row>
    <row r="55" spans="2:9" x14ac:dyDescent="0.2">
      <c r="B55" s="783" t="s">
        <v>649</v>
      </c>
      <c r="C55" s="783" t="s">
        <v>653</v>
      </c>
      <c r="D55" s="783" t="s">
        <v>636</v>
      </c>
      <c r="E55" s="783" t="s">
        <v>636</v>
      </c>
      <c r="F55" s="783">
        <v>90</v>
      </c>
      <c r="G55" s="783">
        <v>3100</v>
      </c>
      <c r="H55" s="783">
        <v>0</v>
      </c>
      <c r="I55" s="783">
        <v>0</v>
      </c>
    </row>
    <row r="56" spans="2:9" x14ac:dyDescent="0.2">
      <c r="B56" s="783" t="s">
        <v>649</v>
      </c>
      <c r="C56" s="783" t="s">
        <v>653</v>
      </c>
      <c r="D56" s="783" t="s">
        <v>637</v>
      </c>
      <c r="E56" s="783" t="s">
        <v>637</v>
      </c>
      <c r="F56" s="783">
        <v>90</v>
      </c>
      <c r="G56" s="783">
        <v>1850</v>
      </c>
      <c r="H56" s="783">
        <v>0</v>
      </c>
      <c r="I56" s="783">
        <v>0</v>
      </c>
    </row>
  </sheetData>
  <pageMargins left="0.7" right="0.7" top="0.75" bottom="0.75" header="0.3" footer="0.3"/>
  <pageSetup orientation="portrait" horizontalDpi="4294967294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workbookViewId="0">
      <selection activeCell="F12" sqref="F12"/>
    </sheetView>
  </sheetViews>
  <sheetFormatPr baseColWidth="10" defaultRowHeight="12.75" x14ac:dyDescent="0.2"/>
  <cols>
    <col min="6" max="6" width="19.140625" bestFit="1" customWidth="1"/>
  </cols>
  <sheetData>
    <row r="2" spans="2:7" x14ac:dyDescent="0.2">
      <c r="B2" s="224" t="s">
        <v>68</v>
      </c>
      <c r="C2">
        <v>26300</v>
      </c>
    </row>
    <row r="3" spans="2:7" x14ac:dyDescent="0.2">
      <c r="B3" t="s">
        <v>532</v>
      </c>
      <c r="C3" t="s">
        <v>587</v>
      </c>
      <c r="F3" t="s">
        <v>536</v>
      </c>
    </row>
    <row r="4" spans="2:7" x14ac:dyDescent="0.2">
      <c r="B4" t="s">
        <v>533</v>
      </c>
      <c r="C4" t="s">
        <v>588</v>
      </c>
      <c r="F4" t="s">
        <v>57</v>
      </c>
      <c r="G4" t="s">
        <v>590</v>
      </c>
    </row>
    <row r="5" spans="2:7" x14ac:dyDescent="0.2">
      <c r="B5" t="s">
        <v>534</v>
      </c>
      <c r="C5" t="s">
        <v>589</v>
      </c>
      <c r="F5" t="s">
        <v>537</v>
      </c>
      <c r="G5" t="s">
        <v>591</v>
      </c>
    </row>
    <row r="6" spans="2:7" x14ac:dyDescent="0.2">
      <c r="B6" t="s">
        <v>548</v>
      </c>
      <c r="F6" t="s">
        <v>559</v>
      </c>
      <c r="G6">
        <v>20.966200000000001</v>
      </c>
    </row>
    <row r="7" spans="2:7" x14ac:dyDescent="0.2">
      <c r="F7" t="s">
        <v>558</v>
      </c>
      <c r="G7" s="224" t="s">
        <v>667</v>
      </c>
    </row>
    <row r="8" spans="2:7" x14ac:dyDescent="0.2">
      <c r="B8" t="s">
        <v>551</v>
      </c>
      <c r="C8" t="s">
        <v>55</v>
      </c>
      <c r="D8" t="s">
        <v>56</v>
      </c>
      <c r="F8" t="s">
        <v>540</v>
      </c>
      <c r="G8" t="s">
        <v>592</v>
      </c>
    </row>
    <row r="9" spans="2:7" x14ac:dyDescent="0.2">
      <c r="B9" t="s">
        <v>147</v>
      </c>
      <c r="C9" t="s">
        <v>419</v>
      </c>
      <c r="D9">
        <v>56</v>
      </c>
      <c r="F9" t="s">
        <v>557</v>
      </c>
      <c r="G9" t="s">
        <v>570</v>
      </c>
    </row>
    <row r="10" spans="2:7" x14ac:dyDescent="0.2">
      <c r="B10" t="s">
        <v>441</v>
      </c>
      <c r="C10" t="s">
        <v>440</v>
      </c>
      <c r="D10">
        <v>51</v>
      </c>
      <c r="F10" t="s">
        <v>538</v>
      </c>
      <c r="G10" s="224" t="s">
        <v>666</v>
      </c>
    </row>
    <row r="11" spans="2:7" x14ac:dyDescent="0.2">
      <c r="B11" t="s">
        <v>148</v>
      </c>
      <c r="C11" t="s">
        <v>440</v>
      </c>
      <c r="D11">
        <v>25</v>
      </c>
      <c r="F11" t="s">
        <v>539</v>
      </c>
      <c r="G11" s="224" t="s">
        <v>593</v>
      </c>
    </row>
    <row r="12" spans="2:7" x14ac:dyDescent="0.2">
      <c r="B12" t="s">
        <v>444</v>
      </c>
      <c r="C12" t="s">
        <v>440</v>
      </c>
      <c r="D12">
        <v>20</v>
      </c>
      <c r="F12" t="s">
        <v>594</v>
      </c>
    </row>
    <row r="13" spans="2:7" x14ac:dyDescent="0.2">
      <c r="B13" t="s">
        <v>404</v>
      </c>
      <c r="C13" s="224" t="s">
        <v>665</v>
      </c>
      <c r="D13" s="224" t="s">
        <v>665</v>
      </c>
      <c r="F13" t="s">
        <v>595</v>
      </c>
    </row>
    <row r="14" spans="2:7" x14ac:dyDescent="0.2">
      <c r="B14" t="s">
        <v>443</v>
      </c>
      <c r="C14" s="224" t="s">
        <v>665</v>
      </c>
      <c r="D14" s="224" t="s">
        <v>665</v>
      </c>
      <c r="F14" t="s">
        <v>596</v>
      </c>
    </row>
    <row r="15" spans="2:7" x14ac:dyDescent="0.2">
      <c r="B15" s="224" t="s">
        <v>662</v>
      </c>
      <c r="C15" s="224" t="s">
        <v>665</v>
      </c>
      <c r="D15" s="224" t="s">
        <v>665</v>
      </c>
      <c r="G15" s="224"/>
    </row>
    <row r="16" spans="2:7" x14ac:dyDescent="0.2">
      <c r="B16" s="224" t="s">
        <v>663</v>
      </c>
      <c r="C16" s="224" t="s">
        <v>665</v>
      </c>
      <c r="D16" s="224" t="s">
        <v>665</v>
      </c>
      <c r="G16" s="224"/>
    </row>
    <row r="17" spans="2:7" x14ac:dyDescent="0.2">
      <c r="B17" s="224" t="s">
        <v>664</v>
      </c>
      <c r="C17" s="224" t="s">
        <v>665</v>
      </c>
      <c r="D17" s="224" t="s">
        <v>665</v>
      </c>
      <c r="G17" s="224"/>
    </row>
    <row r="18" spans="2:7" x14ac:dyDescent="0.2">
      <c r="B18" s="224"/>
      <c r="C18" s="224"/>
      <c r="D18" s="224"/>
      <c r="G18" s="224"/>
    </row>
    <row r="19" spans="2:7" x14ac:dyDescent="0.2">
      <c r="B19" s="224"/>
      <c r="C19" s="224"/>
      <c r="D19" s="224"/>
      <c r="G19" s="224"/>
    </row>
    <row r="20" spans="2:7" x14ac:dyDescent="0.2">
      <c r="G20" s="2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8"/>
  <sheetViews>
    <sheetView tabSelected="1" topLeftCell="A14" workbookViewId="0">
      <selection activeCell="B43" sqref="B43"/>
    </sheetView>
  </sheetViews>
  <sheetFormatPr baseColWidth="10" defaultColWidth="11.42578125" defaultRowHeight="11.25" x14ac:dyDescent="0.2"/>
  <cols>
    <col min="1" max="1" width="11.5703125" style="24" customWidth="1"/>
    <col min="2" max="2" width="23" style="24" customWidth="1"/>
    <col min="3" max="3" width="8.7109375" style="24" bestFit="1" customWidth="1"/>
    <col min="4" max="4" width="7.140625" style="24" bestFit="1" customWidth="1"/>
    <col min="5" max="5" width="10.140625" style="24" customWidth="1"/>
    <col min="6" max="6" width="6.28515625" style="24" bestFit="1" customWidth="1"/>
    <col min="7" max="7" width="7.7109375" style="24" customWidth="1"/>
    <col min="8" max="8" width="9.85546875" style="24" bestFit="1" customWidth="1"/>
    <col min="9" max="9" width="11.140625" style="24" customWidth="1"/>
    <col min="10" max="10" width="5.85546875" style="24" bestFit="1" customWidth="1"/>
    <col min="11" max="11" width="9.85546875" style="24" customWidth="1"/>
    <col min="12" max="12" width="9" style="24" bestFit="1" customWidth="1"/>
    <col min="13" max="13" width="10.7109375" style="24" bestFit="1" customWidth="1"/>
    <col min="14" max="14" width="6.5703125" style="330" bestFit="1" customWidth="1"/>
    <col min="15" max="15" width="10.5703125" style="86" customWidth="1"/>
    <col min="16" max="16" width="9" style="330" bestFit="1" customWidth="1"/>
    <col min="17" max="17" width="9.85546875" style="86" bestFit="1" customWidth="1"/>
    <col min="18" max="18" width="8.28515625" style="24" customWidth="1"/>
    <col min="19" max="16384" width="11.42578125" style="24"/>
  </cols>
  <sheetData>
    <row r="1" spans="1:18" x14ac:dyDescent="0.2">
      <c r="A1" s="85"/>
      <c r="B1" s="329"/>
      <c r="C1" s="331"/>
      <c r="D1" s="332"/>
      <c r="E1" s="332"/>
      <c r="F1" s="332"/>
      <c r="G1" s="333"/>
      <c r="H1" s="83"/>
      <c r="I1" s="83"/>
      <c r="J1" s="83"/>
      <c r="K1" s="83"/>
      <c r="L1" s="83"/>
      <c r="M1" s="83"/>
      <c r="N1" s="334"/>
      <c r="O1" s="335"/>
      <c r="P1" s="334"/>
    </row>
    <row r="2" spans="1:18" x14ac:dyDescent="0.2">
      <c r="A2" s="85"/>
      <c r="B2" s="329"/>
      <c r="C2" s="331"/>
      <c r="D2" s="332"/>
      <c r="E2" s="332"/>
      <c r="F2" s="332"/>
      <c r="H2" s="83"/>
      <c r="I2" s="83"/>
      <c r="J2" s="83"/>
      <c r="L2" s="83"/>
      <c r="M2" s="83"/>
      <c r="N2" s="334"/>
      <c r="O2" s="24"/>
      <c r="P2" s="334"/>
    </row>
    <row r="3" spans="1:18" x14ac:dyDescent="0.2">
      <c r="A3" s="85"/>
      <c r="B3" s="329"/>
      <c r="C3" s="83" t="s">
        <v>68</v>
      </c>
      <c r="D3" s="84">
        <f>Datos!$K$2</f>
        <v>26300</v>
      </c>
      <c r="E3" s="332"/>
      <c r="F3" s="332"/>
      <c r="G3" s="24" t="s">
        <v>376</v>
      </c>
      <c r="H3" s="83"/>
      <c r="I3" s="83"/>
      <c r="J3" s="83"/>
      <c r="K3" s="83" t="s">
        <v>376</v>
      </c>
      <c r="L3" s="336"/>
      <c r="M3" s="83"/>
      <c r="N3" s="334"/>
      <c r="O3" s="335" t="s">
        <v>376</v>
      </c>
      <c r="P3" s="337" t="s">
        <v>457</v>
      </c>
    </row>
    <row r="4" spans="1:18" x14ac:dyDescent="0.2">
      <c r="A4" s="85"/>
      <c r="B4" s="329"/>
      <c r="C4" s="331"/>
      <c r="D4" s="332"/>
      <c r="E4" s="338"/>
      <c r="F4" s="332"/>
      <c r="G4" s="339">
        <f>'Reporte V2'!$G$13:$H$13</f>
        <v>20.966200000000001</v>
      </c>
      <c r="H4" s="83"/>
      <c r="I4" s="85"/>
      <c r="J4" s="85"/>
      <c r="K4" s="340">
        <f>'Reporte V2'!$C$27</f>
        <v>6.07</v>
      </c>
      <c r="L4" s="85"/>
      <c r="M4" s="85"/>
      <c r="O4" s="341">
        <v>0</v>
      </c>
      <c r="P4" s="342">
        <v>0</v>
      </c>
    </row>
    <row r="5" spans="1:18" ht="12" thickBot="1" x14ac:dyDescent="0.25">
      <c r="A5" s="85"/>
      <c r="B5" s="329"/>
      <c r="C5" s="331"/>
      <c r="D5" s="332"/>
      <c r="E5" s="338"/>
      <c r="F5" s="332"/>
      <c r="G5" s="339"/>
      <c r="H5" s="83"/>
      <c r="I5" s="85"/>
      <c r="J5" s="85"/>
      <c r="K5" s="340"/>
      <c r="L5" s="85"/>
      <c r="M5" s="85"/>
      <c r="O5" s="341"/>
      <c r="P5" s="342"/>
    </row>
    <row r="6" spans="1:18" ht="13.5" customHeight="1" thickBot="1" x14ac:dyDescent="0.25">
      <c r="A6" s="85"/>
      <c r="B6" s="343"/>
      <c r="C6" s="794" t="s">
        <v>425</v>
      </c>
      <c r="D6" s="795"/>
      <c r="E6" s="796"/>
      <c r="F6" s="794" t="s">
        <v>74</v>
      </c>
      <c r="G6" s="795"/>
      <c r="H6" s="795"/>
      <c r="I6" s="796"/>
      <c r="J6" s="423"/>
      <c r="K6" s="795" t="s">
        <v>75</v>
      </c>
      <c r="L6" s="795"/>
      <c r="M6" s="796"/>
      <c r="N6" s="797" t="s">
        <v>76</v>
      </c>
      <c r="O6" s="798"/>
      <c r="P6" s="798"/>
      <c r="Q6" s="799"/>
    </row>
    <row r="7" spans="1:18" ht="12.75" customHeight="1" x14ac:dyDescent="0.2">
      <c r="A7" s="85"/>
      <c r="B7" s="343"/>
      <c r="E7" s="83"/>
      <c r="F7" s="793" t="s">
        <v>424</v>
      </c>
      <c r="G7" s="793"/>
      <c r="H7" s="793"/>
      <c r="I7" s="793"/>
      <c r="J7" s="793"/>
      <c r="K7" s="793"/>
      <c r="L7" s="793"/>
      <c r="M7" s="793"/>
      <c r="N7" s="800" t="s">
        <v>504</v>
      </c>
      <c r="O7" s="800"/>
      <c r="P7" s="800"/>
      <c r="Q7" s="800"/>
    </row>
    <row r="8" spans="1:18" ht="15" x14ac:dyDescent="0.2">
      <c r="A8" s="85"/>
      <c r="B8" s="343"/>
      <c r="C8" s="83"/>
      <c r="D8" s="83"/>
      <c r="E8" s="83"/>
      <c r="F8" s="83"/>
      <c r="G8" s="273"/>
      <c r="H8" s="83"/>
      <c r="I8" s="276" t="str">
        <f>C10</f>
        <v>Indisa</v>
      </c>
      <c r="J8" s="83"/>
      <c r="K8" s="273"/>
      <c r="L8" s="83"/>
      <c r="M8" s="83"/>
      <c r="N8" s="274"/>
      <c r="O8" s="275"/>
      <c r="P8" s="274"/>
      <c r="Q8" s="274"/>
    </row>
    <row r="9" spans="1:18" x14ac:dyDescent="0.2">
      <c r="A9" s="85"/>
      <c r="B9" s="343"/>
      <c r="C9" s="659" t="s">
        <v>2</v>
      </c>
      <c r="D9" s="659" t="s">
        <v>3</v>
      </c>
      <c r="E9" s="659" t="s">
        <v>50</v>
      </c>
      <c r="F9" s="659" t="s">
        <v>49</v>
      </c>
      <c r="G9" s="659" t="s">
        <v>48</v>
      </c>
      <c r="H9" s="659" t="s">
        <v>45</v>
      </c>
      <c r="I9" s="659" t="s">
        <v>46</v>
      </c>
      <c r="J9" s="424" t="s">
        <v>49</v>
      </c>
      <c r="K9" s="424" t="s">
        <v>48</v>
      </c>
      <c r="L9" s="424" t="s">
        <v>45</v>
      </c>
      <c r="M9" s="424" t="s">
        <v>46</v>
      </c>
      <c r="N9" s="737" t="s">
        <v>49</v>
      </c>
      <c r="O9" s="737" t="s">
        <v>48</v>
      </c>
      <c r="P9" s="737" t="s">
        <v>45</v>
      </c>
      <c r="Q9" s="738" t="s">
        <v>46</v>
      </c>
      <c r="R9" s="581" t="s">
        <v>501</v>
      </c>
    </row>
    <row r="10" spans="1:18" ht="12" thickBot="1" x14ac:dyDescent="0.25">
      <c r="A10" s="85"/>
      <c r="B10" s="343"/>
      <c r="C10" s="660" t="s">
        <v>181</v>
      </c>
      <c r="D10" s="661"/>
      <c r="E10" s="661"/>
      <c r="F10" s="662" t="s">
        <v>440</v>
      </c>
      <c r="G10" s="661"/>
      <c r="H10" s="661"/>
      <c r="I10" s="661"/>
      <c r="J10" s="83"/>
      <c r="K10" s="83"/>
      <c r="L10" s="83"/>
      <c r="M10" s="83"/>
      <c r="N10" s="727"/>
      <c r="O10" s="739"/>
      <c r="P10" s="727"/>
      <c r="Q10" s="739"/>
      <c r="R10" s="582" t="s">
        <v>381</v>
      </c>
    </row>
    <row r="11" spans="1:18" ht="12" thickBot="1" x14ac:dyDescent="0.25">
      <c r="A11" s="401"/>
      <c r="B11" s="401" t="s">
        <v>0</v>
      </c>
      <c r="C11" s="661"/>
      <c r="D11" s="663"/>
      <c r="E11" s="661"/>
      <c r="F11" s="664">
        <v>0.31</v>
      </c>
      <c r="G11" s="665"/>
      <c r="H11" s="661"/>
      <c r="I11" s="661"/>
      <c r="J11" s="83"/>
      <c r="K11" s="83"/>
      <c r="L11" s="83"/>
      <c r="M11" s="83"/>
      <c r="N11" s="727"/>
      <c r="O11" s="739"/>
      <c r="P11" s="727"/>
      <c r="Q11" s="739"/>
      <c r="R11" s="583" t="s">
        <v>472</v>
      </c>
    </row>
    <row r="12" spans="1:18" ht="12" thickBot="1" x14ac:dyDescent="0.25">
      <c r="A12" s="85"/>
      <c r="B12" s="333" t="s">
        <v>1</v>
      </c>
      <c r="C12" s="666">
        <f>IF($C$10="ALEMANA",'Input Planilla Análisis'!G5,IF('Planilla Análisis ( isapre)'!$C$10="LAS CONDES",'Input Planilla Análisis'!H5,IF('Planilla Análisis ( isapre)'!$C$10="SANTA MARIA",'Input Planilla Análisis'!I5,IF('Planilla Análisis ( isapre)'!$C$10="SAN CARLOS",'Input Planilla Análisis'!J5,IF('Planilla Análisis ( isapre)'!$C$10="U.CHILE",'Input Planilla Análisis'!K5,IF('Planilla Análisis ( isapre)'!$C$10="INDISA",'Input Planilla Análisis'!L5,IF('Planilla Análisis ( isapre)'!$C$10="DAVILA",'Input Planilla Análisis'!M5,IF('Planilla Análisis ( isapre)'!$C$10="H.PROFESOR",'Input Planilla Análisis'!N5,0))))))))</f>
        <v>23078</v>
      </c>
      <c r="D12" s="667">
        <v>16</v>
      </c>
      <c r="E12" s="668">
        <f>C12*D12</f>
        <v>369248</v>
      </c>
      <c r="F12" s="669">
        <f>Datos!E32</f>
        <v>0.9</v>
      </c>
      <c r="G12" s="777">
        <f>Datos!F32</f>
        <v>1.0412927756653994</v>
      </c>
      <c r="H12" s="668">
        <f>(MIN($C12*F12,G12*$D$3))*$D12</f>
        <v>332323.20000000001</v>
      </c>
      <c r="I12" s="671">
        <f>E12-H12</f>
        <v>36924.799999999988</v>
      </c>
      <c r="J12" s="345">
        <v>0.8</v>
      </c>
      <c r="K12" s="215">
        <v>500</v>
      </c>
      <c r="L12" s="209">
        <f>MIN($C12*J12,K12*$D$3)*D12</f>
        <v>295398.40000000002</v>
      </c>
      <c r="M12" s="346">
        <f>E12-L12</f>
        <v>73849.599999999977</v>
      </c>
      <c r="N12" s="740">
        <f>+P4</f>
        <v>0</v>
      </c>
      <c r="O12" s="741">
        <f>20*D3/D3</f>
        <v>20</v>
      </c>
      <c r="P12" s="668">
        <f>MIN(M12*N12,O12*$D$3)</f>
        <v>0</v>
      </c>
      <c r="Q12" s="709">
        <f>M12-P12</f>
        <v>73849.599999999977</v>
      </c>
      <c r="R12" s="580">
        <f>5300/D3</f>
        <v>0.20152091254752852</v>
      </c>
    </row>
    <row r="13" spans="1:18" ht="12" thickBot="1" x14ac:dyDescent="0.25">
      <c r="A13" s="85"/>
      <c r="B13" s="333" t="s">
        <v>4</v>
      </c>
      <c r="C13" s="672">
        <f>IF($C$10="ALEMANA",'Input Planilla Análisis'!G6,IF('Planilla Análisis ( isapre)'!$C$10="LAS CONDES",'Input Planilla Análisis'!H6,IF('Planilla Análisis ( isapre)'!$C$10="SANTA MARIA",'Input Planilla Análisis'!I6,IF('Planilla Análisis ( isapre)'!$C$10="SAN CARLOS",'Input Planilla Análisis'!J6,IF('Planilla Análisis ( isapre)'!$C$10="U.CHILE",'Input Planilla Análisis'!K6,IF('Planilla Análisis ( isapre)'!$C$10="INDISA",'Input Planilla Análisis'!L6,IF('Planilla Análisis ( isapre)'!$C$10="DAVILA",'Input Planilla Análisis'!M6,IF('Planilla Análisis ( isapre)'!$C$10="H.PROFESOR",'Input Planilla Análisis'!N6,0))))))))</f>
        <v>23078</v>
      </c>
      <c r="D13" s="667">
        <v>1</v>
      </c>
      <c r="E13" s="668">
        <f>C13*D13</f>
        <v>23078</v>
      </c>
      <c r="F13" s="669">
        <f>Datos!E33</f>
        <v>0.9</v>
      </c>
      <c r="G13" s="670">
        <f>Datos!F33</f>
        <v>0.5937262357414449</v>
      </c>
      <c r="H13" s="668">
        <f>(MIN($C13*F13,G13*$D$3))*$D13</f>
        <v>15615</v>
      </c>
      <c r="I13" s="673">
        <f>E13-H13</f>
        <v>7463</v>
      </c>
      <c r="J13" s="345">
        <f>J12</f>
        <v>0.8</v>
      </c>
      <c r="K13" s="215">
        <v>500</v>
      </c>
      <c r="L13" s="209">
        <f>MIN($C13*J13,K13*$D$3)*D13</f>
        <v>18462.400000000001</v>
      </c>
      <c r="M13" s="348">
        <f>E13-L13</f>
        <v>4615.5999999999985</v>
      </c>
      <c r="N13" s="742">
        <f>+N12</f>
        <v>0</v>
      </c>
      <c r="O13" s="743">
        <v>0.5</v>
      </c>
      <c r="P13" s="668">
        <f>MIN(M13*N13,O13*$D$3)</f>
        <v>0</v>
      </c>
      <c r="Q13" s="711">
        <f>M13-P13</f>
        <v>4615.5999999999985</v>
      </c>
      <c r="R13" s="580">
        <f>3510/D3</f>
        <v>0.13346007604562737</v>
      </c>
    </row>
    <row r="14" spans="1:18" ht="12" thickBot="1" x14ac:dyDescent="0.25">
      <c r="A14" s="350"/>
      <c r="B14" s="351" t="s">
        <v>5</v>
      </c>
      <c r="C14" s="674">
        <f>SUM(C12:C13)</f>
        <v>46156</v>
      </c>
      <c r="D14" s="675"/>
      <c r="E14" s="676">
        <f>SUM(E12:E13)</f>
        <v>392326</v>
      </c>
      <c r="F14" s="675"/>
      <c r="G14" s="675"/>
      <c r="H14" s="676">
        <f>SUM(H12:H13)</f>
        <v>347938.2</v>
      </c>
      <c r="I14" s="677">
        <f>SUM(I12:I13)</f>
        <v>44387.799999999988</v>
      </c>
      <c r="J14" s="216"/>
      <c r="K14" s="216"/>
      <c r="L14" s="210">
        <f>SUM(L12:L13)</f>
        <v>313860.80000000005</v>
      </c>
      <c r="M14" s="352">
        <f>SUM(M12:M13)</f>
        <v>78465.199999999983</v>
      </c>
      <c r="N14" s="744"/>
      <c r="O14" s="745"/>
      <c r="P14" s="746">
        <f>SUM(P12:P13)</f>
        <v>0</v>
      </c>
      <c r="Q14" s="747">
        <f>SUM(Q12:Q13)</f>
        <v>78465.199999999983</v>
      </c>
      <c r="R14" s="579"/>
    </row>
    <row r="15" spans="1:18" ht="12" thickBot="1" x14ac:dyDescent="0.25">
      <c r="A15" s="85"/>
      <c r="B15" s="218" t="s">
        <v>6</v>
      </c>
      <c r="C15" s="668"/>
      <c r="D15" s="667"/>
      <c r="E15" s="667"/>
      <c r="F15" s="667"/>
      <c r="G15" s="667"/>
      <c r="H15" s="667"/>
      <c r="I15" s="663"/>
      <c r="J15" s="211"/>
      <c r="K15" s="211"/>
      <c r="L15" s="211"/>
      <c r="M15" s="211"/>
      <c r="N15" s="748"/>
      <c r="O15" s="749"/>
      <c r="P15" s="750"/>
      <c r="Q15" s="751"/>
      <c r="R15" s="579"/>
    </row>
    <row r="16" spans="1:18" x14ac:dyDescent="0.2">
      <c r="A16" s="85"/>
      <c r="B16" s="333" t="s">
        <v>7</v>
      </c>
      <c r="C16" s="666">
        <f>IF($C$10="ALEMANA",'Input Planilla Análisis'!G9,IF('Planilla Análisis ( isapre)'!$C$10="LAS CONDES",'Input Planilla Análisis'!H9,IF('Planilla Análisis ( isapre)'!$C$10="SANTA MARIA",'Input Planilla Análisis'!I9,IF('Planilla Análisis ( isapre)'!$C$10="SAN CARLOS",'Input Planilla Análisis'!J9,IF('Planilla Análisis ( isapre)'!$C$10="U.CHILE",'Input Planilla Análisis'!K9,IF('Planilla Análisis ( isapre)'!$C$10="INDISA",'Input Planilla Análisis'!L9,IF('Planilla Análisis ( isapre)'!$C$10="DAVILA",'Input Planilla Análisis'!M9,IF('Planilla Análisis ( isapre)'!$C$10="H.PROFESOR",'Input Planilla Análisis'!N9,0))))))))</f>
        <v>5057</v>
      </c>
      <c r="D16" s="667">
        <v>1</v>
      </c>
      <c r="E16" s="668">
        <f t="shared" ref="E16:E22" si="0">C16*D16</f>
        <v>5057</v>
      </c>
      <c r="F16" s="669">
        <f>Datos!E34</f>
        <v>0.9</v>
      </c>
      <c r="G16" s="678">
        <f>Datos!F34</f>
        <v>0.16178707224334601</v>
      </c>
      <c r="H16" s="668">
        <f>(MIN($C16*F16,G16*$D$3))*$D16</f>
        <v>4255</v>
      </c>
      <c r="I16" s="671">
        <f t="shared" ref="I16:I22" si="1">E16-H16</f>
        <v>802</v>
      </c>
      <c r="J16" s="345">
        <v>0.8</v>
      </c>
      <c r="K16" s="217">
        <v>500</v>
      </c>
      <c r="L16" s="209">
        <f>MIN($C16*J16,K16*$D$3)*$D16</f>
        <v>4045.6000000000004</v>
      </c>
      <c r="M16" s="356">
        <f t="shared" ref="M16:M22" si="2">E16-L16</f>
        <v>1011.3999999999996</v>
      </c>
      <c r="N16" s="748">
        <f>+N13</f>
        <v>0</v>
      </c>
      <c r="O16" s="750">
        <v>20</v>
      </c>
      <c r="P16" s="668">
        <f>MIN(M16*N16,O16*$D$3)</f>
        <v>0</v>
      </c>
      <c r="Q16" s="709">
        <f>M16-P16</f>
        <v>1011.3999999999996</v>
      </c>
      <c r="R16" s="580">
        <f>1160/D3</f>
        <v>4.4106463878326993E-2</v>
      </c>
    </row>
    <row r="17" spans="1:18" x14ac:dyDescent="0.2">
      <c r="A17" s="85"/>
      <c r="B17" s="333" t="s">
        <v>8</v>
      </c>
      <c r="C17" s="672">
        <f>IF($C$10="ALEMANA",'Input Planilla Análisis'!G10,IF('Planilla Análisis ( isapre)'!$C$10="LAS CONDES",'Input Planilla Análisis'!H10,IF('Planilla Análisis ( isapre)'!$C$10="SANTA MARIA",'Input Planilla Análisis'!I10,IF('Planilla Análisis ( isapre)'!$C$10="SAN CARLOS",'Input Planilla Análisis'!J10,IF('Planilla Análisis ( isapre)'!$C$10="U.CHILE",'Input Planilla Análisis'!K10,IF('Planilla Análisis ( isapre)'!$C$10="INDISA",'Input Planilla Análisis'!L10,IF('Planilla Análisis ( isapre)'!$C$10="DAVILA",'Input Planilla Análisis'!M10,IF('Planilla Análisis ( isapre)'!$C$10="H.PROFESOR",'Input Planilla Análisis'!N10,0))))))))</f>
        <v>10517</v>
      </c>
      <c r="D17" s="667">
        <v>1</v>
      </c>
      <c r="E17" s="668">
        <f t="shared" si="0"/>
        <v>10517</v>
      </c>
      <c r="F17" s="669">
        <f>Datos!E35</f>
        <v>0.9</v>
      </c>
      <c r="G17" s="678">
        <f>Datos!F35</f>
        <v>0.35551330798479086</v>
      </c>
      <c r="H17" s="668">
        <f t="shared" ref="H17:H22" si="3">(MIN($C17*F17,G17*$D$3))*$D17</f>
        <v>9350</v>
      </c>
      <c r="I17" s="673">
        <f t="shared" si="1"/>
        <v>1167</v>
      </c>
      <c r="J17" s="345">
        <f t="shared" ref="J17:J22" si="4">J16</f>
        <v>0.8</v>
      </c>
      <c r="K17" s="217">
        <v>500</v>
      </c>
      <c r="L17" s="209">
        <f t="shared" ref="L17:L22" si="5">MIN($C17*J17,K17*$D$3)*$D17</f>
        <v>8413.6</v>
      </c>
      <c r="M17" s="270">
        <f t="shared" si="2"/>
        <v>2103.3999999999996</v>
      </c>
      <c r="N17" s="748">
        <f>+N16</f>
        <v>0</v>
      </c>
      <c r="O17" s="750">
        <f>+O16</f>
        <v>20</v>
      </c>
      <c r="P17" s="668">
        <f t="shared" ref="P17:P22" si="6">MIN(M17*N17,O17*$D$3)</f>
        <v>0</v>
      </c>
      <c r="Q17" s="711">
        <f t="shared" ref="Q17:Q22" si="7">M17-P17</f>
        <v>2103.3999999999996</v>
      </c>
      <c r="R17" s="580">
        <f>2550/D3</f>
        <v>9.6958174904942962E-2</v>
      </c>
    </row>
    <row r="18" spans="1:18" x14ac:dyDescent="0.2">
      <c r="A18" s="85"/>
      <c r="B18" s="333" t="s">
        <v>9</v>
      </c>
      <c r="C18" s="672">
        <f>IF($C$10="ALEMANA",'Input Planilla Análisis'!G11,IF('Planilla Análisis ( isapre)'!$C$10="LAS CONDES",'Input Planilla Análisis'!H11,IF('Planilla Análisis ( isapre)'!$C$10="SANTA MARIA",'Input Planilla Análisis'!I11,IF('Planilla Análisis ( isapre)'!$C$10="SAN CARLOS",'Input Planilla Análisis'!J11,IF('Planilla Análisis ( isapre)'!$C$10="U.CHILE",'Input Planilla Análisis'!K11,IF('Planilla Análisis ( isapre)'!$C$10="INDISA",'Input Planilla Análisis'!L11,IF('Planilla Análisis ( isapre)'!$C$10="DAVILA",'Input Planilla Análisis'!M11,IF('Planilla Análisis ( isapre)'!$C$10="H.PROFESOR",'Input Planilla Análisis'!N11,0))))))))</f>
        <v>14213</v>
      </c>
      <c r="D18" s="667">
        <v>1</v>
      </c>
      <c r="E18" s="668">
        <f t="shared" si="0"/>
        <v>14213</v>
      </c>
      <c r="F18" s="669">
        <f>Datos!E36</f>
        <v>0.9</v>
      </c>
      <c r="G18" s="678">
        <f>Datos!F36</f>
        <v>0.38437262357414448</v>
      </c>
      <c r="H18" s="668">
        <f t="shared" si="3"/>
        <v>10109</v>
      </c>
      <c r="I18" s="673">
        <f t="shared" si="1"/>
        <v>4104</v>
      </c>
      <c r="J18" s="345">
        <f t="shared" si="4"/>
        <v>0.8</v>
      </c>
      <c r="K18" s="217">
        <v>500</v>
      </c>
      <c r="L18" s="209">
        <f t="shared" si="5"/>
        <v>11370.400000000001</v>
      </c>
      <c r="M18" s="270">
        <f t="shared" si="2"/>
        <v>2842.5999999999985</v>
      </c>
      <c r="N18" s="748">
        <f t="shared" ref="N18:N22" si="8">+N17</f>
        <v>0</v>
      </c>
      <c r="O18" s="750">
        <f t="shared" ref="O18:O22" si="9">+O17</f>
        <v>20</v>
      </c>
      <c r="P18" s="668">
        <f t="shared" si="6"/>
        <v>0</v>
      </c>
      <c r="Q18" s="711">
        <f t="shared" si="7"/>
        <v>2842.5999999999985</v>
      </c>
      <c r="R18" s="580">
        <f>3250/D3</f>
        <v>0.12357414448669202</v>
      </c>
    </row>
    <row r="19" spans="1:18" x14ac:dyDescent="0.2">
      <c r="A19" s="85"/>
      <c r="B19" s="333" t="s">
        <v>10</v>
      </c>
      <c r="C19" s="672">
        <f>IF($C$10="ALEMANA",'Input Planilla Análisis'!G12,IF('Planilla Análisis ( isapre)'!$C$10="LAS CONDES",'Input Planilla Análisis'!H12,IF('Planilla Análisis ( isapre)'!$C$10="SANTA MARIA",'Input Planilla Análisis'!I12,IF('Planilla Análisis ( isapre)'!$C$10="SAN CARLOS",'Input Planilla Análisis'!J12,IF('Planilla Análisis ( isapre)'!$C$10="U.CHILE",'Input Planilla Análisis'!K12,IF('Planilla Análisis ( isapre)'!$C$10="INDISA",'Input Planilla Análisis'!L12,IF('Planilla Análisis ( isapre)'!$C$10="DAVILA",'Input Planilla Análisis'!M12,IF('Planilla Análisis ( isapre)'!$C$10="H.PROFESOR",'Input Planilla Análisis'!N12,0))))))))</f>
        <v>7720</v>
      </c>
      <c r="D19" s="667">
        <v>1</v>
      </c>
      <c r="E19" s="668">
        <f t="shared" si="0"/>
        <v>7720</v>
      </c>
      <c r="F19" s="669">
        <f>Datos!E37</f>
        <v>0.9</v>
      </c>
      <c r="G19" s="678">
        <f>Datos!F37</f>
        <v>0.17802281368821293</v>
      </c>
      <c r="H19" s="668">
        <f t="shared" si="3"/>
        <v>4682</v>
      </c>
      <c r="I19" s="673">
        <f t="shared" si="1"/>
        <v>3038</v>
      </c>
      <c r="J19" s="345">
        <f t="shared" si="4"/>
        <v>0.8</v>
      </c>
      <c r="K19" s="217">
        <v>500</v>
      </c>
      <c r="L19" s="209">
        <f t="shared" si="5"/>
        <v>6176</v>
      </c>
      <c r="M19" s="270">
        <f t="shared" si="2"/>
        <v>1544</v>
      </c>
      <c r="N19" s="748">
        <f t="shared" si="8"/>
        <v>0</v>
      </c>
      <c r="O19" s="750">
        <f t="shared" si="9"/>
        <v>20</v>
      </c>
      <c r="P19" s="668">
        <f t="shared" si="6"/>
        <v>0</v>
      </c>
      <c r="Q19" s="711">
        <f t="shared" si="7"/>
        <v>1544</v>
      </c>
      <c r="R19" s="580">
        <f>1400/D3</f>
        <v>5.3231939163498096E-2</v>
      </c>
    </row>
    <row r="20" spans="1:18" x14ac:dyDescent="0.2">
      <c r="A20" s="85"/>
      <c r="B20" s="333" t="s">
        <v>11</v>
      </c>
      <c r="C20" s="672">
        <f>IF($C$10="ALEMANA",'Input Planilla Análisis'!G13,IF('Planilla Análisis ( isapre)'!$C$10="LAS CONDES",'Input Planilla Análisis'!H13,IF('Planilla Análisis ( isapre)'!$C$10="SANTA MARIA",'Input Planilla Análisis'!I13,IF('Planilla Análisis ( isapre)'!$C$10="SAN CARLOS",'Input Planilla Análisis'!J13,IF('Planilla Análisis ( isapre)'!$C$10="U.CHILE",'Input Planilla Análisis'!K13,IF('Planilla Análisis ( isapre)'!$C$10="INDISA",'Input Planilla Análisis'!L13,IF('Planilla Análisis ( isapre)'!$C$10="DAVILA",'Input Planilla Análisis'!M13,IF('Planilla Análisis ( isapre)'!$C$10="H.PROFESOR",'Input Planilla Análisis'!N13,0))))))))</f>
        <v>3142</v>
      </c>
      <c r="D20" s="667">
        <v>1</v>
      </c>
      <c r="E20" s="668">
        <f t="shared" si="0"/>
        <v>3142</v>
      </c>
      <c r="F20" s="669">
        <f>Datos!E38</f>
        <v>0.9</v>
      </c>
      <c r="G20" s="678">
        <f>Datos!F38</f>
        <v>0.10627376425855513</v>
      </c>
      <c r="H20" s="668">
        <f t="shared" si="3"/>
        <v>2795</v>
      </c>
      <c r="I20" s="673">
        <f t="shared" si="1"/>
        <v>347</v>
      </c>
      <c r="J20" s="345">
        <f t="shared" si="4"/>
        <v>0.8</v>
      </c>
      <c r="K20" s="217">
        <v>500</v>
      </c>
      <c r="L20" s="209">
        <f t="shared" si="5"/>
        <v>2513.6000000000004</v>
      </c>
      <c r="M20" s="270">
        <f t="shared" si="2"/>
        <v>628.39999999999964</v>
      </c>
      <c r="N20" s="748">
        <f t="shared" si="8"/>
        <v>0</v>
      </c>
      <c r="O20" s="750">
        <f t="shared" si="9"/>
        <v>20</v>
      </c>
      <c r="P20" s="668">
        <f t="shared" si="6"/>
        <v>0</v>
      </c>
      <c r="Q20" s="711">
        <f t="shared" si="7"/>
        <v>628.39999999999964</v>
      </c>
      <c r="R20" s="580">
        <f>710/D3</f>
        <v>2.6996197718631178E-2</v>
      </c>
    </row>
    <row r="21" spans="1:18" x14ac:dyDescent="0.2">
      <c r="A21" s="85"/>
      <c r="B21" s="333" t="s">
        <v>12</v>
      </c>
      <c r="C21" s="672">
        <f>IF($C$10="ALEMANA",'Input Planilla Análisis'!G14,IF('Planilla Análisis ( isapre)'!$C$10="LAS CONDES",'Input Planilla Análisis'!H14,IF('Planilla Análisis ( isapre)'!$C$10="SANTA MARIA",'Input Planilla Análisis'!I14,IF('Planilla Análisis ( isapre)'!$C$10="SAN CARLOS",'Input Planilla Análisis'!J14,IF('Planilla Análisis ( isapre)'!$C$10="U.CHILE",'Input Planilla Análisis'!K14,IF('Planilla Análisis ( isapre)'!$C$10="INDISA",'Input Planilla Análisis'!L14,IF('Planilla Análisis ( isapre)'!$C$10="DAVILA",'Input Planilla Análisis'!M14,IF('Planilla Análisis ( isapre)'!$C$10="H.PROFESOR",'Input Planilla Análisis'!N14,0))))))))</f>
        <v>105000</v>
      </c>
      <c r="D21" s="667">
        <v>1</v>
      </c>
      <c r="E21" s="668">
        <f t="shared" si="0"/>
        <v>105000</v>
      </c>
      <c r="F21" s="669">
        <f>Datos!E39</f>
        <v>0.9</v>
      </c>
      <c r="G21" s="678">
        <f>Datos!F39</f>
        <v>2.0869961977186313</v>
      </c>
      <c r="H21" s="668">
        <f t="shared" si="3"/>
        <v>54888.000000000007</v>
      </c>
      <c r="I21" s="673">
        <f t="shared" si="1"/>
        <v>50111.999999999993</v>
      </c>
      <c r="J21" s="345">
        <f t="shared" si="4"/>
        <v>0.8</v>
      </c>
      <c r="K21" s="217">
        <v>500</v>
      </c>
      <c r="L21" s="209">
        <f t="shared" si="5"/>
        <v>84000</v>
      </c>
      <c r="M21" s="270">
        <f t="shared" si="2"/>
        <v>21000</v>
      </c>
      <c r="N21" s="748">
        <f t="shared" si="8"/>
        <v>0</v>
      </c>
      <c r="O21" s="750">
        <f t="shared" si="9"/>
        <v>20</v>
      </c>
      <c r="P21" s="668">
        <f t="shared" si="6"/>
        <v>0</v>
      </c>
      <c r="Q21" s="711">
        <f t="shared" si="7"/>
        <v>21000</v>
      </c>
      <c r="R21" s="580">
        <f>12230/D3</f>
        <v>0.4650190114068441</v>
      </c>
    </row>
    <row r="22" spans="1:18" x14ac:dyDescent="0.2">
      <c r="A22" s="85"/>
      <c r="B22" s="333" t="s">
        <v>13</v>
      </c>
      <c r="C22" s="672">
        <f>IF($C$10="ALEMANA",'Input Planilla Análisis'!G15,IF('Planilla Análisis ( isapre)'!$C$10="LAS CONDES",'Input Planilla Análisis'!H15,IF('Planilla Análisis ( isapre)'!$C$10="SANTA MARIA",'Input Planilla Análisis'!I15,IF('Planilla Análisis ( isapre)'!$C$10="SAN CARLOS",'Input Planilla Análisis'!J15,IF('Planilla Análisis ( isapre)'!$C$10="U.CHILE",'Input Planilla Análisis'!K15,IF('Planilla Análisis ( isapre)'!$C$10="INDISA",'Input Planilla Análisis'!L15,IF('Planilla Análisis ( isapre)'!$C$10="DAVILA",'Input Planilla Análisis'!M15,IF('Planilla Análisis ( isapre)'!$C$10="H.PROFESOR",'Input Planilla Análisis'!N15,0))))))))</f>
        <v>121798</v>
      </c>
      <c r="D22" s="667">
        <v>1</v>
      </c>
      <c r="E22" s="668">
        <f t="shared" si="0"/>
        <v>121798</v>
      </c>
      <c r="F22" s="669">
        <f>Datos!E45</f>
        <v>0.9</v>
      </c>
      <c r="G22" s="678">
        <f>Datos!F45</f>
        <v>4.6825855513307983</v>
      </c>
      <c r="H22" s="668">
        <f t="shared" si="3"/>
        <v>109618.2</v>
      </c>
      <c r="I22" s="673">
        <f t="shared" si="1"/>
        <v>12179.800000000003</v>
      </c>
      <c r="J22" s="345">
        <f t="shared" si="4"/>
        <v>0.8</v>
      </c>
      <c r="K22" s="217">
        <v>500</v>
      </c>
      <c r="L22" s="209">
        <f t="shared" si="5"/>
        <v>97438.400000000009</v>
      </c>
      <c r="M22" s="270">
        <f t="shared" si="2"/>
        <v>24359.599999999991</v>
      </c>
      <c r="N22" s="748">
        <f t="shared" si="8"/>
        <v>0</v>
      </c>
      <c r="O22" s="750">
        <f t="shared" si="9"/>
        <v>20</v>
      </c>
      <c r="P22" s="668">
        <f t="shared" si="6"/>
        <v>0</v>
      </c>
      <c r="Q22" s="711">
        <f t="shared" si="7"/>
        <v>24359.599999999991</v>
      </c>
      <c r="R22" s="579"/>
    </row>
    <row r="23" spans="1:18" ht="12" thickBot="1" x14ac:dyDescent="0.25">
      <c r="A23" s="350"/>
      <c r="B23" s="351" t="s">
        <v>5</v>
      </c>
      <c r="C23" s="674">
        <f>SUM(C16:C22)</f>
        <v>267447</v>
      </c>
      <c r="D23" s="675"/>
      <c r="E23" s="676">
        <f>SUM(E16:E22)</f>
        <v>267447</v>
      </c>
      <c r="F23" s="675"/>
      <c r="G23" s="675"/>
      <c r="H23" s="676">
        <f>SUM(H16:H22)</f>
        <v>195697.2</v>
      </c>
      <c r="I23" s="677">
        <f>SUM(I16:I22)</f>
        <v>71749.799999999988</v>
      </c>
      <c r="J23" s="216"/>
      <c r="K23" s="216"/>
      <c r="L23" s="210">
        <f>SUM(L16:L22)</f>
        <v>213957.60000000003</v>
      </c>
      <c r="M23" s="352">
        <f>SUM(M16:M22)</f>
        <v>53489.399999999987</v>
      </c>
      <c r="N23" s="744"/>
      <c r="O23" s="752"/>
      <c r="P23" s="746">
        <f>SUM(P15:P22)</f>
        <v>0</v>
      </c>
      <c r="Q23" s="747">
        <f>SUM(Q16:Q22)</f>
        <v>53489.399999999987</v>
      </c>
      <c r="R23" s="579"/>
    </row>
    <row r="24" spans="1:18" ht="12" thickBot="1" x14ac:dyDescent="0.25">
      <c r="A24" s="85"/>
      <c r="B24" s="333" t="s">
        <v>14</v>
      </c>
      <c r="C24" s="668"/>
      <c r="D24" s="667"/>
      <c r="E24" s="667"/>
      <c r="F24" s="667"/>
      <c r="G24" s="667"/>
      <c r="H24" s="667"/>
      <c r="I24" s="663"/>
      <c r="J24" s="211"/>
      <c r="K24" s="211"/>
      <c r="L24" s="211"/>
      <c r="M24" s="211"/>
      <c r="N24" s="748"/>
      <c r="O24" s="749"/>
      <c r="P24" s="750"/>
      <c r="Q24" s="751"/>
      <c r="R24" s="579"/>
    </row>
    <row r="25" spans="1:18" x14ac:dyDescent="0.2">
      <c r="A25" s="85" t="s">
        <v>630</v>
      </c>
      <c r="B25" s="333" t="s">
        <v>15</v>
      </c>
      <c r="C25" s="666">
        <f>IF($C$10="ALEMANA",'Input Planilla Análisis'!G18,IF('Planilla Análisis ( isapre)'!$C$10="LAS CONDES",'Input Planilla Análisis'!H18,IF('Planilla Análisis ( isapre)'!$C$10="SANTA MARIA",'Input Planilla Análisis'!I18,IF('Planilla Análisis ( isapre)'!$C$10="SAN CARLOS",'Input Planilla Análisis'!J18,IF('Planilla Análisis ( isapre)'!$C$10="U.CHILE",'Input Planilla Análisis'!K18,IF('Planilla Análisis ( isapre)'!$C$10="INDISA",'Input Planilla Análisis'!L18,IF('Planilla Análisis ( isapre)'!$C$10="DAVILA",'Input Planilla Análisis'!M18,IF('Planilla Análisis ( isapre)'!$C$10="H.PROFESOR",'Input Planilla Análisis'!N18,0))))))))</f>
        <v>31534</v>
      </c>
      <c r="D25" s="667">
        <v>1</v>
      </c>
      <c r="E25" s="668">
        <f>C25*D25</f>
        <v>31534</v>
      </c>
      <c r="F25" s="669">
        <f>Datos!E48</f>
        <v>0.9</v>
      </c>
      <c r="G25" s="678">
        <f>Datos!F48</f>
        <v>1.2129657794676807</v>
      </c>
      <c r="H25" s="668">
        <f t="shared" ref="H25:H29" si="10">(MIN($C25*F25,G25*$D$3))*$D25</f>
        <v>28380.600000000002</v>
      </c>
      <c r="I25" s="671">
        <f>E25-H25</f>
        <v>3153.3999999999978</v>
      </c>
      <c r="J25" s="345">
        <f>J22</f>
        <v>0.8</v>
      </c>
      <c r="K25" s="217">
        <v>500</v>
      </c>
      <c r="L25" s="209">
        <f>MIN($C25*J25,K25*$D$3)*$D25</f>
        <v>25227.200000000001</v>
      </c>
      <c r="M25" s="356">
        <f>E25-L25</f>
        <v>6306.7999999999993</v>
      </c>
      <c r="N25" s="748">
        <f>+N22</f>
        <v>0</v>
      </c>
      <c r="O25" s="750">
        <f>+O21</f>
        <v>20</v>
      </c>
      <c r="P25" s="668">
        <f t="shared" ref="P25:P29" si="11">MIN(M25*N25,O25*$D$3)</f>
        <v>0</v>
      </c>
      <c r="Q25" s="709">
        <f t="shared" ref="Q25:Q29" si="12">M25-P25</f>
        <v>6306.7999999999993</v>
      </c>
      <c r="R25" s="580">
        <f>41050/D3</f>
        <v>1.5608365019011408</v>
      </c>
    </row>
    <row r="26" spans="1:18" x14ac:dyDescent="0.2">
      <c r="A26" s="85" t="s">
        <v>631</v>
      </c>
      <c r="B26" s="333" t="s">
        <v>16</v>
      </c>
      <c r="C26" s="672">
        <f>IF($C$10="ALEMANA",'Input Planilla Análisis'!G19,IF('Planilla Análisis ( isapre)'!$C$10="LAS CONDES",'Input Planilla Análisis'!H19,IF('Planilla Análisis ( isapre)'!$C$10="SANTA MARIA",'Input Planilla Análisis'!I19,IF('Planilla Análisis ( isapre)'!$C$10="SAN CARLOS",'Input Planilla Análisis'!J19,IF('Planilla Análisis ( isapre)'!$C$10="U.CHILE",'Input Planilla Análisis'!K19,IF('Planilla Análisis ( isapre)'!$C$10="INDISA",'Input Planilla Análisis'!L19,IF('Planilla Análisis ( isapre)'!$C$10="DAVILA",'Input Planilla Análisis'!M19,IF('Planilla Análisis ( isapre)'!$C$10="H.PROFESOR",'Input Planilla Análisis'!N19,0))))))))</f>
        <v>36590</v>
      </c>
      <c r="D26" s="667">
        <v>1</v>
      </c>
      <c r="E26" s="668">
        <f>C26*D26</f>
        <v>36590</v>
      </c>
      <c r="F26" s="669">
        <f>Datos!E49</f>
        <v>0.9</v>
      </c>
      <c r="G26" s="678">
        <f>Datos!F49</f>
        <v>1.0516730038022815</v>
      </c>
      <c r="H26" s="668">
        <f t="shared" si="10"/>
        <v>27659.000000000004</v>
      </c>
      <c r="I26" s="673">
        <f>E26-H26</f>
        <v>8930.9999999999964</v>
      </c>
      <c r="J26" s="345">
        <f>J25</f>
        <v>0.8</v>
      </c>
      <c r="K26" s="217">
        <v>500</v>
      </c>
      <c r="L26" s="209">
        <f t="shared" ref="L26:L29" si="13">MIN($C26*J26,K26*$D$3)*$D26</f>
        <v>29272</v>
      </c>
      <c r="M26" s="270">
        <f>E26-L26</f>
        <v>7318</v>
      </c>
      <c r="N26" s="748">
        <f>+N25</f>
        <v>0</v>
      </c>
      <c r="O26" s="750">
        <f t="shared" ref="O26:O29" si="14">+O22</f>
        <v>20</v>
      </c>
      <c r="P26" s="668">
        <f t="shared" si="11"/>
        <v>0</v>
      </c>
      <c r="Q26" s="711">
        <f t="shared" si="12"/>
        <v>7318</v>
      </c>
      <c r="R26" s="580">
        <f>8370/D3</f>
        <v>0.31825095057034219</v>
      </c>
    </row>
    <row r="27" spans="1:18" x14ac:dyDescent="0.2">
      <c r="A27" s="85" t="s">
        <v>632</v>
      </c>
      <c r="B27" s="333" t="s">
        <v>17</v>
      </c>
      <c r="C27" s="672">
        <f>IF($C$10="ALEMANA",'Input Planilla Análisis'!G20,IF('Planilla Análisis ( isapre)'!$C$10="LAS CONDES",'Input Planilla Análisis'!H20,IF('Planilla Análisis ( isapre)'!$C$10="SANTA MARIA",'Input Planilla Análisis'!I20,IF('Planilla Análisis ( isapre)'!$C$10="SAN CARLOS",'Input Planilla Análisis'!J20,IF('Planilla Análisis ( isapre)'!$C$10="U.CHILE",'Input Planilla Análisis'!K20,IF('Planilla Análisis ( isapre)'!$C$10="INDISA",'Input Planilla Análisis'!L20,IF('Planilla Análisis ( isapre)'!$C$10="DAVILA",'Input Planilla Análisis'!M20,IF('Planilla Análisis ( isapre)'!$C$10="H.PROFESOR",'Input Planilla Análisis'!N20,0))))))))</f>
        <v>209010</v>
      </c>
      <c r="D27" s="667">
        <v>1</v>
      </c>
      <c r="E27" s="668">
        <f>C27*D27</f>
        <v>209010</v>
      </c>
      <c r="F27" s="669">
        <f>Datos!E51</f>
        <v>0.9</v>
      </c>
      <c r="G27" s="678">
        <f>Datos!F51</f>
        <v>3.4687452471482891</v>
      </c>
      <c r="H27" s="668">
        <f t="shared" si="10"/>
        <v>91228</v>
      </c>
      <c r="I27" s="673">
        <f>E27-H27</f>
        <v>117782</v>
      </c>
      <c r="J27" s="345">
        <f>J26</f>
        <v>0.8</v>
      </c>
      <c r="K27" s="217">
        <v>500</v>
      </c>
      <c r="L27" s="209">
        <f t="shared" si="13"/>
        <v>167208</v>
      </c>
      <c r="M27" s="270">
        <f>E27-L27</f>
        <v>41802</v>
      </c>
      <c r="N27" s="748">
        <f t="shared" ref="N27:N29" si="15">+N26</f>
        <v>0</v>
      </c>
      <c r="O27" s="750">
        <f>+O26</f>
        <v>20</v>
      </c>
      <c r="P27" s="668">
        <f t="shared" si="11"/>
        <v>0</v>
      </c>
      <c r="Q27" s="711">
        <f t="shared" si="12"/>
        <v>41802</v>
      </c>
      <c r="R27" s="580">
        <f>24890/D3</f>
        <v>0.94638783269961979</v>
      </c>
    </row>
    <row r="28" spans="1:18" x14ac:dyDescent="0.2">
      <c r="A28" s="85" t="s">
        <v>633</v>
      </c>
      <c r="B28" s="333" t="s">
        <v>18</v>
      </c>
      <c r="C28" s="672">
        <f>IF($C$10="ALEMANA",'Input Planilla Análisis'!G21,IF('Planilla Análisis ( isapre)'!$C$10="LAS CONDES",'Input Planilla Análisis'!H21,IF('Planilla Análisis ( isapre)'!$C$10="SANTA MARIA",'Input Planilla Análisis'!I21,IF('Planilla Análisis ( isapre)'!$C$10="SAN CARLOS",'Input Planilla Análisis'!J21,IF('Planilla Análisis ( isapre)'!$C$10="U.CHILE",'Input Planilla Análisis'!K21,IF('Planilla Análisis ( isapre)'!$C$10="INDISA",'Input Planilla Análisis'!L21,IF('Planilla Análisis ( isapre)'!$C$10="DAVILA",'Input Planilla Análisis'!M21,IF('Planilla Análisis ( isapre)'!$C$10="H.PROFESOR",'Input Planilla Análisis'!N21,0))))))))</f>
        <v>43058</v>
      </c>
      <c r="D28" s="667">
        <v>1</v>
      </c>
      <c r="E28" s="668">
        <f>C28*D28</f>
        <v>43058</v>
      </c>
      <c r="F28" s="669">
        <f>Datos!E52</f>
        <v>0.9</v>
      </c>
      <c r="G28" s="678">
        <f>Datos!F52</f>
        <v>1.2208365019011407</v>
      </c>
      <c r="H28" s="668">
        <f t="shared" si="10"/>
        <v>32108</v>
      </c>
      <c r="I28" s="673">
        <f>E28-H28</f>
        <v>10950</v>
      </c>
      <c r="J28" s="345">
        <f>J27</f>
        <v>0.8</v>
      </c>
      <c r="K28" s="217">
        <v>500</v>
      </c>
      <c r="L28" s="209">
        <f t="shared" si="13"/>
        <v>34446.400000000001</v>
      </c>
      <c r="M28" s="270">
        <f>E28-L28</f>
        <v>8611.5999999999985</v>
      </c>
      <c r="N28" s="748">
        <f t="shared" si="15"/>
        <v>0</v>
      </c>
      <c r="O28" s="750">
        <f>+O27</f>
        <v>20</v>
      </c>
      <c r="P28" s="668">
        <f t="shared" si="11"/>
        <v>0</v>
      </c>
      <c r="Q28" s="711">
        <f t="shared" si="12"/>
        <v>8611.5999999999985</v>
      </c>
      <c r="R28" s="580">
        <f>9840/D3</f>
        <v>0.37414448669201522</v>
      </c>
    </row>
    <row r="29" spans="1:18" x14ac:dyDescent="0.2">
      <c r="A29" s="85" t="s">
        <v>634</v>
      </c>
      <c r="B29" s="333" t="s">
        <v>19</v>
      </c>
      <c r="C29" s="672">
        <f>IF($C$10="ALEMANA",'Input Planilla Análisis'!G22,IF('Planilla Análisis ( isapre)'!$C$10="LAS CONDES",'Input Planilla Análisis'!H22,IF('Planilla Análisis ( isapre)'!$C$10="SANTA MARIA",'Input Planilla Análisis'!I22,IF('Planilla Análisis ( isapre)'!$C$10="SAN CARLOS",'Input Planilla Análisis'!J22,IF('Planilla Análisis ( isapre)'!$C$10="U.CHILE",'Input Planilla Análisis'!K22,IF('Planilla Análisis ( isapre)'!$C$10="INDISA",'Input Planilla Análisis'!L22,IF('Planilla Análisis ( isapre)'!$C$10="DAVILA",'Input Planilla Análisis'!M22,IF('Planilla Análisis ( isapre)'!$C$10="H.PROFESOR",'Input Planilla Análisis'!N22,0))))))))</f>
        <v>28432</v>
      </c>
      <c r="D29" s="667">
        <v>1</v>
      </c>
      <c r="E29" s="668">
        <f>C29*D29</f>
        <v>28432</v>
      </c>
      <c r="F29" s="669">
        <f>Datos!E53</f>
        <v>0.9</v>
      </c>
      <c r="G29" s="678">
        <f>Datos!F53</f>
        <v>0.64524714828897334</v>
      </c>
      <c r="H29" s="668">
        <f t="shared" si="10"/>
        <v>16970</v>
      </c>
      <c r="I29" s="673">
        <f>E29-H29</f>
        <v>11462</v>
      </c>
      <c r="J29" s="345">
        <f>J28</f>
        <v>0.8</v>
      </c>
      <c r="K29" s="217">
        <v>500</v>
      </c>
      <c r="L29" s="209">
        <f t="shared" si="13"/>
        <v>22745.600000000002</v>
      </c>
      <c r="M29" s="270">
        <f>E29-L29</f>
        <v>5686.3999999999978</v>
      </c>
      <c r="N29" s="748">
        <f t="shared" si="15"/>
        <v>0</v>
      </c>
      <c r="O29" s="750">
        <f t="shared" si="14"/>
        <v>20</v>
      </c>
      <c r="P29" s="668">
        <f t="shared" si="11"/>
        <v>0</v>
      </c>
      <c r="Q29" s="711">
        <f t="shared" si="12"/>
        <v>5686.3999999999978</v>
      </c>
      <c r="R29" s="580">
        <f>5210/D3</f>
        <v>0.19809885931558935</v>
      </c>
    </row>
    <row r="30" spans="1:18" ht="12" thickBot="1" x14ac:dyDescent="0.25">
      <c r="A30" s="211" t="s">
        <v>635</v>
      </c>
      <c r="B30" s="351" t="s">
        <v>5</v>
      </c>
      <c r="C30" s="674">
        <f>SUM(C25:C29)</f>
        <v>348624</v>
      </c>
      <c r="D30" s="675"/>
      <c r="E30" s="676">
        <f>SUM(E25:E29)</f>
        <v>348624</v>
      </c>
      <c r="F30" s="675"/>
      <c r="G30" s="675"/>
      <c r="H30" s="679">
        <f>SUM(H25:H29)</f>
        <v>196345.60000000001</v>
      </c>
      <c r="I30" s="677">
        <f>SUM(I25:I29)</f>
        <v>152278.39999999999</v>
      </c>
      <c r="J30" s="216"/>
      <c r="K30" s="216"/>
      <c r="L30" s="210">
        <f>SUM(L25:L29)</f>
        <v>278899.20000000001</v>
      </c>
      <c r="M30" s="357">
        <f>SUM(M25:M29)</f>
        <v>69724.800000000003</v>
      </c>
      <c r="N30" s="744"/>
      <c r="O30" s="752"/>
      <c r="P30" s="746">
        <f>SUM(P25:P29)</f>
        <v>0</v>
      </c>
      <c r="Q30" s="747">
        <f>SUM(Q25:Q29)</f>
        <v>69724.800000000003</v>
      </c>
      <c r="R30" s="579"/>
    </row>
    <row r="31" spans="1:18" x14ac:dyDescent="0.2">
      <c r="A31" s="211" t="s">
        <v>636</v>
      </c>
      <c r="B31" s="351" t="s">
        <v>77</v>
      </c>
      <c r="C31" s="668"/>
      <c r="D31" s="667"/>
      <c r="E31" s="668"/>
      <c r="F31" s="667"/>
      <c r="G31" s="667"/>
      <c r="H31" s="680">
        <f>+H33/E33</f>
        <v>0.73381912084228729</v>
      </c>
      <c r="I31" s="681"/>
      <c r="J31" s="273"/>
      <c r="K31" s="211"/>
      <c r="L31" s="426">
        <f>+L33/E33</f>
        <v>0.8</v>
      </c>
      <c r="M31" s="358"/>
      <c r="N31" s="753"/>
      <c r="O31" s="749"/>
      <c r="P31" s="754">
        <f>+(L30+P30)/E30</f>
        <v>0.8</v>
      </c>
      <c r="Q31" s="751"/>
    </row>
    <row r="32" spans="1:18" x14ac:dyDescent="0.2">
      <c r="A32" s="211"/>
      <c r="B32" s="351"/>
      <c r="C32" s="668"/>
      <c r="D32" s="667"/>
      <c r="E32" s="668"/>
      <c r="F32" s="667"/>
      <c r="G32" s="667"/>
      <c r="H32" s="682"/>
      <c r="I32" s="681"/>
      <c r="J32" s="211"/>
      <c r="K32" s="211"/>
      <c r="L32" s="209"/>
      <c r="M32" s="360"/>
      <c r="N32" s="748"/>
      <c r="O32" s="749"/>
      <c r="P32" s="750"/>
      <c r="Q32" s="751"/>
    </row>
    <row r="33" spans="1:17" x14ac:dyDescent="0.2">
      <c r="A33" s="85"/>
      <c r="B33" s="409" t="s">
        <v>446</v>
      </c>
      <c r="C33" s="683"/>
      <c r="D33" s="684"/>
      <c r="E33" s="685">
        <f>E14+E23+E30</f>
        <v>1008397</v>
      </c>
      <c r="F33" s="684"/>
      <c r="G33" s="684"/>
      <c r="H33" s="685">
        <f>H14+H23+H30</f>
        <v>739981</v>
      </c>
      <c r="I33" s="685">
        <f>I14+I23+I30</f>
        <v>268416</v>
      </c>
      <c r="J33" s="410"/>
      <c r="K33" s="410"/>
      <c r="L33" s="434">
        <f>L14+L23+L30</f>
        <v>806717.60000000009</v>
      </c>
      <c r="M33" s="434">
        <f>M14+M23+M30</f>
        <v>201679.39999999997</v>
      </c>
      <c r="N33" s="411"/>
      <c r="O33" s="412"/>
      <c r="P33" s="435">
        <f>+P14+P23+P30</f>
        <v>0</v>
      </c>
      <c r="Q33" s="436">
        <f>Q14+Q23+Q30</f>
        <v>201679.39999999997</v>
      </c>
    </row>
    <row r="34" spans="1:17" x14ac:dyDescent="0.2">
      <c r="A34" s="85"/>
      <c r="B34" s="344"/>
      <c r="C34" s="686"/>
      <c r="D34" s="661"/>
      <c r="E34" s="686"/>
      <c r="F34" s="661"/>
      <c r="G34" s="661"/>
      <c r="H34" s="687"/>
      <c r="I34" s="688"/>
      <c r="J34" s="273"/>
      <c r="K34" s="83"/>
      <c r="L34" s="362"/>
      <c r="M34" s="363"/>
      <c r="N34" s="359"/>
      <c r="O34" s="354"/>
      <c r="P34" s="364"/>
      <c r="Q34" s="355"/>
    </row>
    <row r="35" spans="1:17" x14ac:dyDescent="0.2">
      <c r="B35" s="402"/>
      <c r="C35" s="668"/>
      <c r="D35" s="667"/>
      <c r="E35" s="667"/>
      <c r="F35" s="667"/>
      <c r="G35" s="667"/>
      <c r="H35" s="667"/>
      <c r="I35" s="663"/>
      <c r="J35" s="211"/>
      <c r="K35" s="211"/>
      <c r="L35" s="211"/>
      <c r="M35" s="211"/>
      <c r="N35" s="353"/>
      <c r="O35" s="354"/>
      <c r="P35" s="220"/>
      <c r="Q35" s="355"/>
    </row>
    <row r="36" spans="1:17" x14ac:dyDescent="0.2">
      <c r="A36" s="85"/>
      <c r="B36" s="351"/>
      <c r="C36" s="668"/>
      <c r="D36" s="667"/>
      <c r="E36" s="667"/>
      <c r="F36" s="667" t="s">
        <v>440</v>
      </c>
      <c r="G36" s="667"/>
      <c r="H36" s="667"/>
      <c r="I36" s="663"/>
      <c r="J36" s="211"/>
      <c r="K36" s="211"/>
      <c r="L36" s="211"/>
      <c r="M36" s="211"/>
      <c r="N36" s="353"/>
      <c r="O36" s="354"/>
      <c r="P36" s="220"/>
      <c r="Q36" s="355"/>
    </row>
    <row r="37" spans="1:17" ht="12" thickBot="1" x14ac:dyDescent="0.25">
      <c r="A37" s="85"/>
      <c r="B37" s="351" t="s">
        <v>60</v>
      </c>
      <c r="C37" s="668"/>
      <c r="D37" s="667"/>
      <c r="E37" s="667"/>
      <c r="F37" s="664">
        <v>0.5</v>
      </c>
      <c r="G37" s="667"/>
      <c r="H37" s="667"/>
      <c r="I37" s="663"/>
      <c r="J37" s="211"/>
      <c r="K37" s="211"/>
      <c r="L37" s="211"/>
      <c r="M37" s="211"/>
      <c r="N37" s="353"/>
      <c r="O37" s="354"/>
      <c r="P37" s="220"/>
      <c r="Q37" s="355"/>
    </row>
    <row r="38" spans="1:17" x14ac:dyDescent="0.2">
      <c r="A38" s="85"/>
      <c r="B38" s="333" t="s">
        <v>20</v>
      </c>
      <c r="C38" s="666">
        <f>IF($C$10="ALEMANA",'Input Planilla Análisis'!G30,IF('Planilla Análisis ( isapre)'!$C$10="LAS CONDES",'Input Planilla Análisis'!H30,IF('Planilla Análisis ( isapre)'!$C$10="SANTA MARIA",'Input Planilla Análisis'!I30,IF('Planilla Análisis ( isapre)'!$C$10="SAN CARLOS",'Input Planilla Análisis'!J30,IF('Planilla Análisis ( isapre)'!$C$10="U.CHILE",'Input Planilla Análisis'!K30,IF('Planilla Análisis ( isapre)'!$C$10="INDISA",'Input Planilla Análisis'!L30,IF('Planilla Análisis ( isapre)'!$C$10="DAVILA",'Input Planilla Análisis'!M30,IF('Planilla Análisis ( isapre)'!$C$10="H.PROFESOR",'Input Planilla Análisis'!N30,0))))))))</f>
        <v>1847135.3499999999</v>
      </c>
      <c r="D38" s="689">
        <v>1</v>
      </c>
      <c r="E38" s="668">
        <f t="shared" ref="E38:E49" si="16">C38*D38</f>
        <v>1847135.3499999999</v>
      </c>
      <c r="F38" s="690">
        <f>Datos!E21</f>
        <v>1</v>
      </c>
      <c r="G38" s="668">
        <f>Datos!F21</f>
        <v>500</v>
      </c>
      <c r="H38" s="668">
        <f t="shared" ref="H38:H49" si="17">(MIN($C38*F38,G38*$D$3))*$D38</f>
        <v>1847135.3499999999</v>
      </c>
      <c r="I38" s="671">
        <f t="shared" ref="I38:I49" si="18">E38-H38</f>
        <v>0</v>
      </c>
      <c r="J38" s="345">
        <v>1</v>
      </c>
      <c r="K38" s="209">
        <v>500</v>
      </c>
      <c r="L38" s="209">
        <f>MIN($C38*J38,K38*$D$3)*$D38</f>
        <v>1847135.3499999999</v>
      </c>
      <c r="M38" s="356">
        <f t="shared" ref="M38:M49" si="19">E38-L38</f>
        <v>0</v>
      </c>
      <c r="N38" s="748">
        <f>+N29</f>
        <v>0</v>
      </c>
      <c r="O38" s="749">
        <v>1000</v>
      </c>
      <c r="P38" s="668">
        <f t="shared" ref="P38:P49" si="20">MIN(M38*N38,O38*$D$3)</f>
        <v>0</v>
      </c>
      <c r="Q38" s="709">
        <f>M38-P38</f>
        <v>0</v>
      </c>
    </row>
    <row r="39" spans="1:17" x14ac:dyDescent="0.2">
      <c r="A39" s="792" t="s">
        <v>66</v>
      </c>
      <c r="B39" s="792"/>
      <c r="C39" s="672">
        <f>IF($C$10="ALEMANA",'Input Planilla Análisis'!G31,IF('Planilla Análisis ( isapre)'!$C$10="LAS CONDES",'Input Planilla Análisis'!H31,IF('Planilla Análisis ( isapre)'!$C$10="SANTA MARIA",'Input Planilla Análisis'!I31,IF('Planilla Análisis ( isapre)'!$C$10="SAN CARLOS",'Input Planilla Análisis'!J31,IF('Planilla Análisis ( isapre)'!$C$10="U.CHILE",'Input Planilla Análisis'!K31,IF('Planilla Análisis ( isapre)'!$C$10="INDISA",'Input Planilla Análisis'!L31,IF('Planilla Análisis ( isapre)'!$C$10="DAVILA",'Input Planilla Análisis'!M31,IF('Planilla Análisis ( isapre)'!$C$10="H.PROFESOR",'Input Planilla Análisis'!N31,0))))))))</f>
        <v>893201.39999999991</v>
      </c>
      <c r="D39" s="689">
        <v>1</v>
      </c>
      <c r="E39" s="668">
        <f t="shared" si="16"/>
        <v>893201.39999999991</v>
      </c>
      <c r="F39" s="690">
        <f>+F38</f>
        <v>1</v>
      </c>
      <c r="G39" s="668">
        <f>G38</f>
        <v>500</v>
      </c>
      <c r="H39" s="668">
        <f t="shared" si="17"/>
        <v>893201.39999999991</v>
      </c>
      <c r="I39" s="673">
        <f t="shared" si="18"/>
        <v>0</v>
      </c>
      <c r="J39" s="345">
        <f t="shared" ref="J39:J48" si="21">J38</f>
        <v>1</v>
      </c>
      <c r="K39" s="209">
        <v>500</v>
      </c>
      <c r="L39" s="209">
        <f t="shared" ref="L39:L49" si="22">MIN($C39*J39,K39*$D$3)*$D39</f>
        <v>893201.39999999991</v>
      </c>
      <c r="M39" s="270">
        <f t="shared" si="19"/>
        <v>0</v>
      </c>
      <c r="N39" s="748">
        <f>+N38</f>
        <v>0</v>
      </c>
      <c r="O39" s="749">
        <f>+O38</f>
        <v>1000</v>
      </c>
      <c r="P39" s="668">
        <f t="shared" si="20"/>
        <v>0</v>
      </c>
      <c r="Q39" s="711">
        <f t="shared" ref="Q39:Q49" si="23">M39-P39</f>
        <v>0</v>
      </c>
    </row>
    <row r="40" spans="1:17" x14ac:dyDescent="0.2">
      <c r="A40" s="85"/>
      <c r="B40" s="333" t="s">
        <v>21</v>
      </c>
      <c r="C40" s="672">
        <f>IF($C$10="ALEMANA",'Input Planilla Análisis'!G32,IF('Planilla Análisis ( isapre)'!$C$10="LAS CONDES",'Input Planilla Análisis'!H32,IF('Planilla Análisis ( isapre)'!$C$10="SANTA MARIA",'Input Planilla Análisis'!I32,IF('Planilla Análisis ( isapre)'!$C$10="SAN CARLOS",'Input Planilla Análisis'!J32,IF('Planilla Análisis ( isapre)'!$C$10="U.CHILE",'Input Planilla Análisis'!K32,IF('Planilla Análisis ( isapre)'!$C$10="INDISA",'Input Planilla Análisis'!L32,IF('Planilla Análisis ( isapre)'!$C$10="DAVILA",'Input Planilla Análisis'!M32,IF('Planilla Análisis ( isapre)'!$C$10="H.PROFESOR",'Input Planilla Análisis'!N32,0))))))))</f>
        <v>410807</v>
      </c>
      <c r="D40" s="689">
        <v>1</v>
      </c>
      <c r="E40" s="668">
        <f t="shared" si="16"/>
        <v>410807</v>
      </c>
      <c r="F40" s="690">
        <f t="shared" ref="F40:F49" si="24">+F39</f>
        <v>1</v>
      </c>
      <c r="G40" s="668">
        <f t="shared" ref="G40:G47" si="25">G39</f>
        <v>500</v>
      </c>
      <c r="H40" s="668">
        <f t="shared" si="17"/>
        <v>410807</v>
      </c>
      <c r="I40" s="673">
        <f t="shared" si="18"/>
        <v>0</v>
      </c>
      <c r="J40" s="345">
        <f t="shared" si="21"/>
        <v>1</v>
      </c>
      <c r="K40" s="209">
        <v>500</v>
      </c>
      <c r="L40" s="209">
        <f t="shared" si="22"/>
        <v>410807</v>
      </c>
      <c r="M40" s="270">
        <f t="shared" si="19"/>
        <v>0</v>
      </c>
      <c r="N40" s="748">
        <f t="shared" ref="N40:N49" si="26">+N39</f>
        <v>0</v>
      </c>
      <c r="O40" s="749">
        <f t="shared" ref="O40:O41" si="27">+O39</f>
        <v>1000</v>
      </c>
      <c r="P40" s="668">
        <f t="shared" si="20"/>
        <v>0</v>
      </c>
      <c r="Q40" s="711">
        <f t="shared" si="23"/>
        <v>0</v>
      </c>
    </row>
    <row r="41" spans="1:17" ht="12" thickBot="1" x14ac:dyDescent="0.25">
      <c r="A41" s="85"/>
      <c r="B41" s="333" t="s">
        <v>22</v>
      </c>
      <c r="C41" s="672">
        <f>IF($C$10="ALEMANA",'Input Planilla Análisis'!G33,IF('Planilla Análisis ( isapre)'!$C$10="LAS CONDES",'Input Planilla Análisis'!H33,IF('Planilla Análisis ( isapre)'!$C$10="SANTA MARIA",'Input Planilla Análisis'!I33,IF('Planilla Análisis ( isapre)'!$C$10="SAN CARLOS",'Input Planilla Análisis'!J33,IF('Planilla Análisis ( isapre)'!$C$10="U.CHILE",'Input Planilla Análisis'!K33,IF('Planilla Análisis ( isapre)'!$C$10="INDISA",'Input Planilla Análisis'!L33,IF('Planilla Análisis ( isapre)'!$C$10="DAVILA",'Input Planilla Análisis'!M33,IF('Planilla Análisis ( isapre)'!$C$10="H.PROFESOR",'Input Planilla Análisis'!N33,0))))))))</f>
        <v>825092.1</v>
      </c>
      <c r="D41" s="689">
        <v>1</v>
      </c>
      <c r="E41" s="668">
        <f t="shared" si="16"/>
        <v>825092.1</v>
      </c>
      <c r="F41" s="690">
        <f t="shared" si="24"/>
        <v>1</v>
      </c>
      <c r="G41" s="668">
        <f t="shared" si="25"/>
        <v>500</v>
      </c>
      <c r="H41" s="668">
        <f t="shared" si="17"/>
        <v>825092.1</v>
      </c>
      <c r="I41" s="673">
        <f t="shared" si="18"/>
        <v>0</v>
      </c>
      <c r="J41" s="345">
        <f t="shared" si="21"/>
        <v>1</v>
      </c>
      <c r="K41" s="209">
        <v>500</v>
      </c>
      <c r="L41" s="209">
        <f t="shared" si="22"/>
        <v>825092.1</v>
      </c>
      <c r="M41" s="270">
        <f t="shared" si="19"/>
        <v>0</v>
      </c>
      <c r="N41" s="748">
        <f t="shared" si="26"/>
        <v>0</v>
      </c>
      <c r="O41" s="749">
        <f t="shared" si="27"/>
        <v>1000</v>
      </c>
      <c r="P41" s="668">
        <f t="shared" si="20"/>
        <v>0</v>
      </c>
      <c r="Q41" s="711">
        <f t="shared" si="23"/>
        <v>0</v>
      </c>
    </row>
    <row r="42" spans="1:17" ht="12" thickBot="1" x14ac:dyDescent="0.25">
      <c r="A42" s="85"/>
      <c r="B42" s="366" t="s">
        <v>23</v>
      </c>
      <c r="C42" s="672">
        <f>IF($C$10="ALEMANA",'Input Planilla Análisis'!G34,IF('Planilla Análisis ( isapre)'!$C$10="LAS CONDES",'Input Planilla Análisis'!H34,IF('Planilla Análisis ( isapre)'!$C$10="SANTA MARIA",'Input Planilla Análisis'!I34,IF('Planilla Análisis ( isapre)'!$C$10="SAN CARLOS",'Input Planilla Análisis'!J34,IF('Planilla Análisis ( isapre)'!$C$10="U.CHILE",'Input Planilla Análisis'!K34,IF('Planilla Análisis ( isapre)'!$C$10="INDISA",'Input Planilla Análisis'!L34,IF('Planilla Análisis ( isapre)'!$C$10="DAVILA",'Input Planilla Análisis'!M34,IF('Planilla Análisis ( isapre)'!$C$10="H.PROFESOR",'Input Planilla Análisis'!N34,0))))))))</f>
        <v>1958149.5</v>
      </c>
      <c r="D42" s="689">
        <v>1</v>
      </c>
      <c r="E42" s="668">
        <f t="shared" si="16"/>
        <v>1958149.5</v>
      </c>
      <c r="F42" s="690">
        <f t="shared" si="24"/>
        <v>1</v>
      </c>
      <c r="G42" s="668">
        <f t="shared" si="25"/>
        <v>500</v>
      </c>
      <c r="H42" s="668">
        <f t="shared" si="17"/>
        <v>1958149.5</v>
      </c>
      <c r="I42" s="673">
        <f t="shared" si="18"/>
        <v>0</v>
      </c>
      <c r="J42" s="345">
        <f t="shared" si="21"/>
        <v>1</v>
      </c>
      <c r="K42" s="209">
        <v>500</v>
      </c>
      <c r="L42" s="209">
        <f t="shared" si="22"/>
        <v>1958149.5</v>
      </c>
      <c r="M42" s="270">
        <f t="shared" si="19"/>
        <v>0</v>
      </c>
      <c r="N42" s="748">
        <f t="shared" si="26"/>
        <v>0</v>
      </c>
      <c r="O42" s="755">
        <v>2</v>
      </c>
      <c r="P42" s="668">
        <f t="shared" si="20"/>
        <v>0</v>
      </c>
      <c r="Q42" s="711">
        <f t="shared" si="23"/>
        <v>0</v>
      </c>
    </row>
    <row r="43" spans="1:17" x14ac:dyDescent="0.2">
      <c r="A43" s="85"/>
      <c r="B43" s="333" t="s">
        <v>24</v>
      </c>
      <c r="C43" s="672">
        <f>IF($C$10="ALEMANA",'Input Planilla Análisis'!G35,IF('Planilla Análisis ( isapre)'!$C$10="LAS CONDES",'Input Planilla Análisis'!H35,IF('Planilla Análisis ( isapre)'!$C$10="SANTA MARIA",'Input Planilla Análisis'!I35,IF('Planilla Análisis ( isapre)'!$C$10="SAN CARLOS",'Input Planilla Análisis'!J35,IF('Planilla Análisis ( isapre)'!$C$10="U.CHILE",'Input Planilla Análisis'!K35,IF('Planilla Análisis ( isapre)'!$C$10="INDISA",'Input Planilla Análisis'!L35,IF('Planilla Análisis ( isapre)'!$C$10="DAVILA",'Input Planilla Análisis'!M35,IF('Planilla Análisis ( isapre)'!$C$10="H.PROFESOR",'Input Planilla Análisis'!N35,0))))))))</f>
        <v>1701326.5</v>
      </c>
      <c r="D43" s="689">
        <v>1</v>
      </c>
      <c r="E43" s="668">
        <f t="shared" si="16"/>
        <v>1701326.5</v>
      </c>
      <c r="F43" s="690">
        <f t="shared" si="24"/>
        <v>1</v>
      </c>
      <c r="G43" s="668">
        <f t="shared" si="25"/>
        <v>500</v>
      </c>
      <c r="H43" s="668">
        <f t="shared" si="17"/>
        <v>1701326.5</v>
      </c>
      <c r="I43" s="673">
        <f t="shared" si="18"/>
        <v>0</v>
      </c>
      <c r="J43" s="345">
        <f t="shared" si="21"/>
        <v>1</v>
      </c>
      <c r="K43" s="209">
        <v>500</v>
      </c>
      <c r="L43" s="209">
        <f t="shared" si="22"/>
        <v>1701326.5</v>
      </c>
      <c r="M43" s="270">
        <f t="shared" si="19"/>
        <v>0</v>
      </c>
      <c r="N43" s="748">
        <f t="shared" si="26"/>
        <v>0</v>
      </c>
      <c r="O43" s="749">
        <f>+O41</f>
        <v>1000</v>
      </c>
      <c r="P43" s="668">
        <f t="shared" si="20"/>
        <v>0</v>
      </c>
      <c r="Q43" s="711">
        <f t="shared" si="23"/>
        <v>0</v>
      </c>
    </row>
    <row r="44" spans="1:17" x14ac:dyDescent="0.2">
      <c r="A44" s="85"/>
      <c r="B44" s="333" t="s">
        <v>25</v>
      </c>
      <c r="C44" s="672">
        <f>IF($C$10="ALEMANA",'Input Planilla Análisis'!G36,IF('Planilla Análisis ( isapre)'!$C$10="LAS CONDES",'Input Planilla Análisis'!H36,IF('Planilla Análisis ( isapre)'!$C$10="SANTA MARIA",'Input Planilla Análisis'!I36,IF('Planilla Análisis ( isapre)'!$C$10="SAN CARLOS",'Input Planilla Análisis'!J36,IF('Planilla Análisis ( isapre)'!$C$10="U.CHILE",'Input Planilla Análisis'!K36,IF('Planilla Análisis ( isapre)'!$C$10="INDISA",'Input Planilla Análisis'!L36,IF('Planilla Análisis ( isapre)'!$C$10="DAVILA",'Input Planilla Análisis'!M36,IF('Planilla Análisis ( isapre)'!$C$10="H.PROFESOR",'Input Planilla Análisis'!N36,0))))))))</f>
        <v>2700850</v>
      </c>
      <c r="D44" s="689">
        <v>1</v>
      </c>
      <c r="E44" s="668">
        <f t="shared" si="16"/>
        <v>2700850</v>
      </c>
      <c r="F44" s="690">
        <f t="shared" si="24"/>
        <v>1</v>
      </c>
      <c r="G44" s="668">
        <f t="shared" si="25"/>
        <v>500</v>
      </c>
      <c r="H44" s="668">
        <f t="shared" si="17"/>
        <v>2700850</v>
      </c>
      <c r="I44" s="673">
        <f t="shared" si="18"/>
        <v>0</v>
      </c>
      <c r="J44" s="345">
        <f t="shared" si="21"/>
        <v>1</v>
      </c>
      <c r="K44" s="209">
        <v>500</v>
      </c>
      <c r="L44" s="209">
        <f t="shared" si="22"/>
        <v>2700850</v>
      </c>
      <c r="M44" s="270">
        <f t="shared" si="19"/>
        <v>0</v>
      </c>
      <c r="N44" s="748">
        <f t="shared" si="26"/>
        <v>0</v>
      </c>
      <c r="O44" s="749">
        <f>+O43</f>
        <v>1000</v>
      </c>
      <c r="P44" s="668">
        <f t="shared" si="20"/>
        <v>0</v>
      </c>
      <c r="Q44" s="711">
        <f t="shared" si="23"/>
        <v>0</v>
      </c>
    </row>
    <row r="45" spans="1:17" x14ac:dyDescent="0.2">
      <c r="A45" s="85"/>
      <c r="B45" s="333" t="s">
        <v>26</v>
      </c>
      <c r="C45" s="672">
        <f>IF($C$10="ALEMANA",'Input Planilla Análisis'!G37,IF('Planilla Análisis ( isapre)'!$C$10="LAS CONDES",'Input Planilla Análisis'!H37,IF('Planilla Análisis ( isapre)'!$C$10="SANTA MARIA",'Input Planilla Análisis'!I37,IF('Planilla Análisis ( isapre)'!$C$10="SAN CARLOS",'Input Planilla Análisis'!J37,IF('Planilla Análisis ( isapre)'!$C$10="U.CHILE",'Input Planilla Análisis'!K37,IF('Planilla Análisis ( isapre)'!$C$10="INDISA",'Input Planilla Análisis'!L37,IF('Planilla Análisis ( isapre)'!$C$10="DAVILA",'Input Planilla Análisis'!M37,IF('Planilla Análisis ( isapre)'!$C$10="H.PROFESOR",'Input Planilla Análisis'!N37,0))))))))</f>
        <v>670168</v>
      </c>
      <c r="D45" s="689">
        <v>1</v>
      </c>
      <c r="E45" s="668">
        <f t="shared" si="16"/>
        <v>670168</v>
      </c>
      <c r="F45" s="690">
        <f t="shared" si="24"/>
        <v>1</v>
      </c>
      <c r="G45" s="668">
        <f t="shared" si="25"/>
        <v>500</v>
      </c>
      <c r="H45" s="668">
        <f t="shared" si="17"/>
        <v>670168</v>
      </c>
      <c r="I45" s="673">
        <f t="shared" si="18"/>
        <v>0</v>
      </c>
      <c r="J45" s="345">
        <f t="shared" si="21"/>
        <v>1</v>
      </c>
      <c r="K45" s="209">
        <v>500</v>
      </c>
      <c r="L45" s="209">
        <f t="shared" si="22"/>
        <v>670168</v>
      </c>
      <c r="M45" s="270">
        <f t="shared" si="19"/>
        <v>0</v>
      </c>
      <c r="N45" s="748">
        <f t="shared" si="26"/>
        <v>0</v>
      </c>
      <c r="O45" s="749">
        <f t="shared" ref="O45:O49" si="28">+O43</f>
        <v>1000</v>
      </c>
      <c r="P45" s="668">
        <f t="shared" si="20"/>
        <v>0</v>
      </c>
      <c r="Q45" s="711">
        <f t="shared" si="23"/>
        <v>0</v>
      </c>
    </row>
    <row r="46" spans="1:17" x14ac:dyDescent="0.2">
      <c r="A46" s="85"/>
      <c r="B46" s="333" t="s">
        <v>27</v>
      </c>
      <c r="C46" s="672">
        <f>IF($C$10="ALEMANA",'Input Planilla Análisis'!G38,IF('Planilla Análisis ( isapre)'!$C$10="LAS CONDES",'Input Planilla Análisis'!H38,IF('Planilla Análisis ( isapre)'!$C$10="SANTA MARIA",'Input Planilla Análisis'!I38,IF('Planilla Análisis ( isapre)'!$C$10="SAN CARLOS",'Input Planilla Análisis'!J38,IF('Planilla Análisis ( isapre)'!$C$10="U.CHILE",'Input Planilla Análisis'!K38,IF('Planilla Análisis ( isapre)'!$C$10="INDISA",'Input Planilla Análisis'!L38,IF('Planilla Análisis ( isapre)'!$C$10="DAVILA",'Input Planilla Análisis'!M38,IF('Planilla Análisis ( isapre)'!$C$10="H.PROFESOR",'Input Planilla Análisis'!N38,0))))))))</f>
        <v>328481.5</v>
      </c>
      <c r="D46" s="689">
        <v>1</v>
      </c>
      <c r="E46" s="668">
        <f t="shared" si="16"/>
        <v>328481.5</v>
      </c>
      <c r="F46" s="690">
        <f t="shared" si="24"/>
        <v>1</v>
      </c>
      <c r="G46" s="668">
        <f t="shared" si="25"/>
        <v>500</v>
      </c>
      <c r="H46" s="668">
        <f t="shared" si="17"/>
        <v>328481.5</v>
      </c>
      <c r="I46" s="673">
        <f t="shared" si="18"/>
        <v>0</v>
      </c>
      <c r="J46" s="345">
        <f t="shared" si="21"/>
        <v>1</v>
      </c>
      <c r="K46" s="209">
        <v>500</v>
      </c>
      <c r="L46" s="209">
        <f t="shared" si="22"/>
        <v>328481.5</v>
      </c>
      <c r="M46" s="270">
        <f t="shared" si="19"/>
        <v>0</v>
      </c>
      <c r="N46" s="748">
        <f t="shared" si="26"/>
        <v>0</v>
      </c>
      <c r="O46" s="749">
        <f t="shared" si="28"/>
        <v>1000</v>
      </c>
      <c r="P46" s="668">
        <f t="shared" si="20"/>
        <v>0</v>
      </c>
      <c r="Q46" s="711">
        <f t="shared" si="23"/>
        <v>0</v>
      </c>
    </row>
    <row r="47" spans="1:17" x14ac:dyDescent="0.2">
      <c r="A47" s="85"/>
      <c r="B47" s="333" t="s">
        <v>28</v>
      </c>
      <c r="C47" s="672">
        <f>IF($C$10="ALEMANA",'Input Planilla Análisis'!G39,IF('Planilla Análisis ( isapre)'!$C$10="LAS CONDES",'Input Planilla Análisis'!H39,IF('Planilla Análisis ( isapre)'!$C$10="SANTA MARIA",'Input Planilla Análisis'!I39,IF('Planilla Análisis ( isapre)'!$C$10="SAN CARLOS",'Input Planilla Análisis'!J39,IF('Planilla Análisis ( isapre)'!$C$10="U.CHILE",'Input Planilla Análisis'!K39,IF('Planilla Análisis ( isapre)'!$C$10="INDISA",'Input Planilla Análisis'!L39,IF('Planilla Análisis ( isapre)'!$C$10="DAVILA",'Input Planilla Análisis'!M39,IF('Planilla Análisis ( isapre)'!$C$10="H.PROFESOR",'Input Planilla Análisis'!N39,0))))))))</f>
        <v>971046.29999999993</v>
      </c>
      <c r="D47" s="689">
        <v>1</v>
      </c>
      <c r="E47" s="668">
        <f t="shared" si="16"/>
        <v>971046.29999999993</v>
      </c>
      <c r="F47" s="690">
        <f t="shared" si="24"/>
        <v>1</v>
      </c>
      <c r="G47" s="668">
        <f t="shared" si="25"/>
        <v>500</v>
      </c>
      <c r="H47" s="668">
        <f t="shared" si="17"/>
        <v>971046.29999999993</v>
      </c>
      <c r="I47" s="673">
        <f t="shared" si="18"/>
        <v>0</v>
      </c>
      <c r="J47" s="345">
        <f t="shared" si="21"/>
        <v>1</v>
      </c>
      <c r="K47" s="209">
        <v>500</v>
      </c>
      <c r="L47" s="209">
        <f t="shared" si="22"/>
        <v>971046.29999999993</v>
      </c>
      <c r="M47" s="270">
        <f t="shared" si="19"/>
        <v>0</v>
      </c>
      <c r="N47" s="748">
        <f t="shared" si="26"/>
        <v>0</v>
      </c>
      <c r="O47" s="749">
        <f t="shared" si="28"/>
        <v>1000</v>
      </c>
      <c r="P47" s="668">
        <f t="shared" si="20"/>
        <v>0</v>
      </c>
      <c r="Q47" s="711">
        <f t="shared" si="23"/>
        <v>0</v>
      </c>
    </row>
    <row r="48" spans="1:17" x14ac:dyDescent="0.2">
      <c r="A48" s="792" t="s">
        <v>67</v>
      </c>
      <c r="B48" s="792"/>
      <c r="C48" s="672">
        <f>IF($C$10="ALEMANA",'Input Planilla Análisis'!G40,IF('Planilla Análisis ( isapre)'!$C$10="LAS CONDES",'Input Planilla Análisis'!H40,IF('Planilla Análisis ( isapre)'!$C$10="SANTA MARIA",'Input Planilla Análisis'!I40,IF('Planilla Análisis ( isapre)'!$C$10="SAN CARLOS",'Input Planilla Análisis'!J40,IF('Planilla Análisis ( isapre)'!$C$10="U.CHILE",'Input Planilla Análisis'!K40,IF('Planilla Análisis ( isapre)'!$C$10="INDISA",'Input Planilla Análisis'!L40,IF('Planilla Análisis ( isapre)'!$C$10="DAVILA",'Input Planilla Análisis'!M40,IF('Planilla Análisis ( isapre)'!$C$10="H.PROFESOR",'Input Planilla Análisis'!N40,0))))))))</f>
        <v>7909700</v>
      </c>
      <c r="D48" s="689">
        <v>1</v>
      </c>
      <c r="E48" s="668">
        <f t="shared" si="16"/>
        <v>7909700</v>
      </c>
      <c r="F48" s="690">
        <f t="shared" si="24"/>
        <v>1</v>
      </c>
      <c r="G48" s="691">
        <v>50</v>
      </c>
      <c r="H48" s="668">
        <f t="shared" si="17"/>
        <v>1315000</v>
      </c>
      <c r="I48" s="673">
        <f t="shared" si="18"/>
        <v>6594700</v>
      </c>
      <c r="J48" s="345">
        <f t="shared" si="21"/>
        <v>1</v>
      </c>
      <c r="K48" s="209">
        <v>50</v>
      </c>
      <c r="L48" s="209">
        <f t="shared" si="22"/>
        <v>1315000</v>
      </c>
      <c r="M48" s="270">
        <f t="shared" si="19"/>
        <v>6594700</v>
      </c>
      <c r="N48" s="748">
        <f t="shared" si="26"/>
        <v>0</v>
      </c>
      <c r="O48" s="749">
        <f t="shared" si="28"/>
        <v>1000</v>
      </c>
      <c r="P48" s="668">
        <f t="shared" si="20"/>
        <v>0</v>
      </c>
      <c r="Q48" s="711">
        <f t="shared" si="23"/>
        <v>6594700</v>
      </c>
    </row>
    <row r="49" spans="1:17" x14ac:dyDescent="0.2">
      <c r="A49" s="85"/>
      <c r="B49" s="333" t="s">
        <v>29</v>
      </c>
      <c r="C49" s="672">
        <f>IF($C$10="ALEMANA",'Input Planilla Análisis'!G41,IF('Planilla Análisis ( isapre)'!$C$10="LAS CONDES",'Input Planilla Análisis'!H41,IF('Planilla Análisis ( isapre)'!$C$10="SANTA MARIA",'Input Planilla Análisis'!I41,IF('Planilla Análisis ( isapre)'!$C$10="SAN CARLOS",'Input Planilla Análisis'!J41,IF('Planilla Análisis ( isapre)'!$C$10="U.CHILE",'Input Planilla Análisis'!K41,IF('Planilla Análisis ( isapre)'!$C$10="INDISA",'Input Planilla Análisis'!L41,IF('Planilla Análisis ( isapre)'!$C$10="DAVILA",'Input Planilla Análisis'!M41,IF('Planilla Análisis ( isapre)'!$C$10="H.PROFESOR",'Input Planilla Análisis'!N41,0))))))))</f>
        <v>1140000</v>
      </c>
      <c r="D49" s="689">
        <v>1</v>
      </c>
      <c r="E49" s="668">
        <f t="shared" si="16"/>
        <v>1140000</v>
      </c>
      <c r="F49" s="690">
        <f t="shared" si="24"/>
        <v>1</v>
      </c>
      <c r="G49" s="691">
        <v>50</v>
      </c>
      <c r="H49" s="668">
        <f t="shared" si="17"/>
        <v>1140000</v>
      </c>
      <c r="I49" s="673">
        <f t="shared" si="18"/>
        <v>0</v>
      </c>
      <c r="J49" s="345">
        <f>J47</f>
        <v>1</v>
      </c>
      <c r="K49" s="209">
        <v>50</v>
      </c>
      <c r="L49" s="209">
        <f t="shared" si="22"/>
        <v>1140000</v>
      </c>
      <c r="M49" s="270">
        <f t="shared" si="19"/>
        <v>0</v>
      </c>
      <c r="N49" s="748">
        <f t="shared" si="26"/>
        <v>0</v>
      </c>
      <c r="O49" s="749">
        <f t="shared" si="28"/>
        <v>1000</v>
      </c>
      <c r="P49" s="668">
        <f t="shared" si="20"/>
        <v>0</v>
      </c>
      <c r="Q49" s="756">
        <f t="shared" si="23"/>
        <v>0</v>
      </c>
    </row>
    <row r="50" spans="1:17" ht="12" thickBot="1" x14ac:dyDescent="0.25">
      <c r="A50" s="85"/>
      <c r="B50" s="351" t="s">
        <v>5</v>
      </c>
      <c r="C50" s="676">
        <f>SUM(C38:C49)</f>
        <v>21355957.649999999</v>
      </c>
      <c r="D50" s="676"/>
      <c r="E50" s="676">
        <f>SUM(E38:E49)</f>
        <v>21355957.649999999</v>
      </c>
      <c r="F50" s="676"/>
      <c r="G50" s="676"/>
      <c r="H50" s="676">
        <f>SUM(H38:H49)</f>
        <v>14761257.65</v>
      </c>
      <c r="I50" s="677">
        <f>SUM(I38:I49)</f>
        <v>6594700</v>
      </c>
      <c r="J50" s="210"/>
      <c r="K50" s="210"/>
      <c r="L50" s="210">
        <f>SUM(L38:L49)</f>
        <v>14761257.65</v>
      </c>
      <c r="M50" s="352">
        <f>SUM(M38:M49)</f>
        <v>6594700</v>
      </c>
      <c r="N50" s="744"/>
      <c r="O50" s="752"/>
      <c r="P50" s="746">
        <f>SUM(P38:P49)</f>
        <v>0</v>
      </c>
      <c r="Q50" s="747">
        <f>SUM(Q38:Q49)</f>
        <v>6594700</v>
      </c>
    </row>
    <row r="51" spans="1:17" x14ac:dyDescent="0.2">
      <c r="A51" s="85"/>
      <c r="B51" s="351" t="s">
        <v>77</v>
      </c>
      <c r="C51" s="668"/>
      <c r="D51" s="668"/>
      <c r="E51" s="668"/>
      <c r="F51" s="668"/>
      <c r="G51" s="668"/>
      <c r="H51" s="692">
        <f>H50/E50</f>
        <v>0.69120092350436002</v>
      </c>
      <c r="I51" s="681"/>
      <c r="J51" s="209"/>
      <c r="K51" s="209"/>
      <c r="L51" s="427">
        <f>L50/E50</f>
        <v>0.69120092350436002</v>
      </c>
      <c r="M51" s="209"/>
      <c r="N51" s="757"/>
      <c r="O51" s="758"/>
      <c r="P51" s="754">
        <f>(L50+P50)/E50</f>
        <v>0.69120092350436002</v>
      </c>
      <c r="Q51" s="759"/>
    </row>
    <row r="52" spans="1:17" x14ac:dyDescent="0.2">
      <c r="A52" s="85"/>
      <c r="B52" s="333"/>
      <c r="C52" s="668"/>
      <c r="D52" s="689"/>
      <c r="E52" s="668"/>
      <c r="F52" s="690" t="s">
        <v>440</v>
      </c>
      <c r="G52" s="668"/>
      <c r="H52" s="668"/>
      <c r="I52" s="681"/>
      <c r="J52" s="365"/>
      <c r="K52" s="209"/>
      <c r="L52" s="209"/>
      <c r="M52" s="209"/>
      <c r="N52" s="748"/>
      <c r="O52" s="749"/>
      <c r="P52" s="750"/>
      <c r="Q52" s="751"/>
    </row>
    <row r="53" spans="1:17" ht="12" thickBot="1" x14ac:dyDescent="0.25">
      <c r="A53" s="85"/>
      <c r="B53" s="351" t="s">
        <v>61</v>
      </c>
      <c r="C53" s="668"/>
      <c r="D53" s="667"/>
      <c r="E53" s="667"/>
      <c r="F53" s="664">
        <v>0.31</v>
      </c>
      <c r="G53" s="667"/>
      <c r="H53" s="691">
        <f>Datos!F22*Datos!$K$2</f>
        <v>4947921</v>
      </c>
      <c r="I53" s="663"/>
      <c r="J53" s="211"/>
      <c r="K53" s="211"/>
      <c r="L53" s="585">
        <v>10000000</v>
      </c>
      <c r="M53" s="211"/>
      <c r="N53" s="748"/>
      <c r="O53" s="749"/>
      <c r="P53" s="750"/>
      <c r="Q53" s="751"/>
    </row>
    <row r="54" spans="1:17" x14ac:dyDescent="0.2">
      <c r="A54" s="370"/>
      <c r="B54" s="333" t="s">
        <v>30</v>
      </c>
      <c r="C54" s="666">
        <f>IF($C$10="ALEMANA",'Input Planilla Análisis'!G46,IF('Planilla Análisis ( isapre)'!$C$10="LAS CONDES",'Input Planilla Análisis'!H46,IF('Planilla Análisis ( isapre)'!$C$10="SANTA MARIA",'Input Planilla Análisis'!I46,IF('Planilla Análisis ( isapre)'!$C$10="SAN CARLOS",'Input Planilla Análisis'!J46,IF('Planilla Análisis ( isapre)'!$C$10="U.CHILE",'Input Planilla Análisis'!K46,IF('Planilla Análisis ( isapre)'!$C$10="INDISA",'Input Planilla Análisis'!L46,IF('Planilla Análisis ( isapre)'!$C$10="DAVILA",'Input Planilla Análisis'!M46,IF('Planilla Análisis ( isapre)'!$C$10="H.PROFESOR",'Input Planilla Análisis'!N46,0))))))))</f>
        <v>2257806.1</v>
      </c>
      <c r="D54" s="667">
        <v>1</v>
      </c>
      <c r="E54" s="668">
        <f t="shared" ref="E54:E62" si="29">C54*D54</f>
        <v>2257806.1</v>
      </c>
      <c r="F54" s="690">
        <f>Datos!E22</f>
        <v>0.8</v>
      </c>
      <c r="G54" s="668">
        <f>(H53/D3)*0.34</f>
        <v>63.965518631178718</v>
      </c>
      <c r="H54" s="668">
        <f t="shared" ref="H54:H62" si="30">(MIN($C54*F54,G54*$D$3))*$D54</f>
        <v>1682293.1400000004</v>
      </c>
      <c r="I54" s="671">
        <f t="shared" ref="I54:I62" si="31">E54-H54</f>
        <v>575512.95999999973</v>
      </c>
      <c r="J54" s="365">
        <v>1</v>
      </c>
      <c r="K54" s="209">
        <f>(L53/D3)*0.34</f>
        <v>129.27756653992395</v>
      </c>
      <c r="L54" s="209">
        <f>MIN($C54*J54,K54*$D$3)*$D54</f>
        <v>2257806.1</v>
      </c>
      <c r="M54" s="356">
        <f t="shared" ref="M54:M62" si="32">E54-L54</f>
        <v>0</v>
      </c>
      <c r="N54" s="748">
        <f>+N49</f>
        <v>0</v>
      </c>
      <c r="O54" s="749">
        <v>1000</v>
      </c>
      <c r="P54" s="668">
        <f t="shared" ref="P54:P62" si="33">MIN(M54*N54,O54*$D$3)</f>
        <v>0</v>
      </c>
      <c r="Q54" s="709">
        <f>M54-P54</f>
        <v>0</v>
      </c>
    </row>
    <row r="55" spans="1:17" x14ac:dyDescent="0.2">
      <c r="A55" s="370"/>
      <c r="B55" s="425" t="s">
        <v>31</v>
      </c>
      <c r="C55" s="672">
        <f>IF($C$10="ALEMANA",'Input Planilla Análisis'!G47,IF('Planilla Análisis ( isapre)'!$C$10="LAS CONDES",'Input Planilla Análisis'!H47,IF('Planilla Análisis ( isapre)'!$C$10="SANTA MARIA",'Input Planilla Análisis'!I47,IF('Planilla Análisis ( isapre)'!$C$10="SAN CARLOS",'Input Planilla Análisis'!J47,IF('Planilla Análisis ( isapre)'!$C$10="U.CHILE",'Input Planilla Análisis'!K47,IF('Planilla Análisis ( isapre)'!$C$10="INDISA",'Input Planilla Análisis'!L47,IF('Planilla Análisis ( isapre)'!$C$10="DAVILA",'Input Planilla Análisis'!M47,IF('Planilla Análisis ( isapre)'!$C$10="H.PROFESOR",'Input Planilla Análisis'!N47,0))))))))</f>
        <v>903122.44</v>
      </c>
      <c r="D55" s="667">
        <v>1</v>
      </c>
      <c r="E55" s="668">
        <f t="shared" si="29"/>
        <v>903122.44</v>
      </c>
      <c r="F55" s="690">
        <f>+F54</f>
        <v>0.8</v>
      </c>
      <c r="G55" s="668">
        <f>(H53/D3)*0.13</f>
        <v>24.457404182509507</v>
      </c>
      <c r="H55" s="668">
        <f t="shared" si="30"/>
        <v>643229.73</v>
      </c>
      <c r="I55" s="673">
        <f t="shared" si="31"/>
        <v>259892.70999999996</v>
      </c>
      <c r="J55" s="365">
        <f t="shared" ref="J55:J62" si="34">J54</f>
        <v>1</v>
      </c>
      <c r="K55" s="209">
        <f>(L53/D3)*0.13</f>
        <v>49.429657794676807</v>
      </c>
      <c r="L55" s="209">
        <f t="shared" ref="L55:L62" si="35">MIN($C55*J55,K55*$D$3)*$D55</f>
        <v>903122.44</v>
      </c>
      <c r="M55" s="270">
        <f t="shared" si="32"/>
        <v>0</v>
      </c>
      <c r="N55" s="748">
        <f>+N54</f>
        <v>0</v>
      </c>
      <c r="O55" s="749">
        <f>+O54</f>
        <v>1000</v>
      </c>
      <c r="P55" s="668">
        <f t="shared" si="33"/>
        <v>0</v>
      </c>
      <c r="Q55" s="711">
        <f t="shared" ref="Q55:Q62" si="36">M55-P55</f>
        <v>0</v>
      </c>
    </row>
    <row r="56" spans="1:17" x14ac:dyDescent="0.2">
      <c r="A56" s="370"/>
      <c r="B56" s="333" t="s">
        <v>32</v>
      </c>
      <c r="C56" s="672">
        <f>IF($C$10="ALEMANA",'Input Planilla Análisis'!G48,IF('Planilla Análisis ( isapre)'!$C$10="LAS CONDES",'Input Planilla Análisis'!H48,IF('Planilla Análisis ( isapre)'!$C$10="SANTA MARIA",'Input Planilla Análisis'!I48,IF('Planilla Análisis ( isapre)'!$C$10="SAN CARLOS",'Input Planilla Análisis'!J48,IF('Planilla Análisis ( isapre)'!$C$10="U.CHILE",'Input Planilla Análisis'!K48,IF('Planilla Análisis ( isapre)'!$C$10="INDISA",'Input Planilla Análisis'!L48,IF('Planilla Análisis ( isapre)'!$C$10="DAVILA",'Input Planilla Análisis'!M48,IF('Planilla Análisis ( isapre)'!$C$10="H.PROFESOR",'Input Planilla Análisis'!N48,0))))))))</f>
        <v>564227.32499999995</v>
      </c>
      <c r="D56" s="667">
        <v>1</v>
      </c>
      <c r="E56" s="668">
        <f t="shared" si="29"/>
        <v>564227.32499999995</v>
      </c>
      <c r="F56" s="690">
        <f t="shared" ref="F56:F62" si="37">+F55</f>
        <v>0.8</v>
      </c>
      <c r="G56" s="668">
        <f>(H53/D3)*0.08</f>
        <v>15.050710266159697</v>
      </c>
      <c r="H56" s="668">
        <f t="shared" si="30"/>
        <v>395833.68000000005</v>
      </c>
      <c r="I56" s="673">
        <f t="shared" si="31"/>
        <v>168393.6449999999</v>
      </c>
      <c r="J56" s="365">
        <f t="shared" si="34"/>
        <v>1</v>
      </c>
      <c r="K56" s="209">
        <f>(L53/D3)*0.08</f>
        <v>30.418250950570343</v>
      </c>
      <c r="L56" s="209">
        <f t="shared" si="35"/>
        <v>564227.32499999995</v>
      </c>
      <c r="M56" s="270">
        <f t="shared" si="32"/>
        <v>0</v>
      </c>
      <c r="N56" s="748">
        <f t="shared" ref="N56:N62" si="38">+N55</f>
        <v>0</v>
      </c>
      <c r="O56" s="749">
        <f t="shared" ref="O56:O62" si="39">+O55</f>
        <v>1000</v>
      </c>
      <c r="P56" s="668">
        <f t="shared" si="33"/>
        <v>0</v>
      </c>
      <c r="Q56" s="711">
        <f t="shared" si="36"/>
        <v>0</v>
      </c>
    </row>
    <row r="57" spans="1:17" x14ac:dyDescent="0.2">
      <c r="A57" s="370"/>
      <c r="B57" s="333" t="s">
        <v>33</v>
      </c>
      <c r="C57" s="672">
        <f>IF($C$10="ALEMANA",'Input Planilla Análisis'!G49,IF('Planilla Análisis ( isapre)'!$C$10="LAS CONDES",'Input Planilla Análisis'!H49,IF('Planilla Análisis ( isapre)'!$C$10="SANTA MARIA",'Input Planilla Análisis'!I49,IF('Planilla Análisis ( isapre)'!$C$10="SAN CARLOS",'Input Planilla Análisis'!J49,IF('Planilla Análisis ( isapre)'!$C$10="U.CHILE",'Input Planilla Análisis'!K49,IF('Planilla Análisis ( isapre)'!$C$10="INDISA",'Input Planilla Análisis'!L49,IF('Planilla Análisis ( isapre)'!$C$10="DAVILA",'Input Planilla Análisis'!M49,IF('Planilla Análisis ( isapre)'!$C$10="H.PROFESOR",'Input Planilla Análisis'!N49,0))))))))</f>
        <v>451561.22</v>
      </c>
      <c r="D57" s="667">
        <v>1</v>
      </c>
      <c r="E57" s="668">
        <f t="shared" si="29"/>
        <v>451561.22</v>
      </c>
      <c r="F57" s="690">
        <f t="shared" si="37"/>
        <v>0.8</v>
      </c>
      <c r="G57" s="668">
        <f>(H53/D3)*0.06</f>
        <v>11.288032699619773</v>
      </c>
      <c r="H57" s="668">
        <f t="shared" si="30"/>
        <v>296875.26</v>
      </c>
      <c r="I57" s="673">
        <f t="shared" si="31"/>
        <v>154685.95999999996</v>
      </c>
      <c r="J57" s="365">
        <f t="shared" si="34"/>
        <v>1</v>
      </c>
      <c r="K57" s="209">
        <f>(L53/D3)*0.06</f>
        <v>22.813688212927755</v>
      </c>
      <c r="L57" s="209">
        <f t="shared" si="35"/>
        <v>451561.22</v>
      </c>
      <c r="M57" s="270">
        <f t="shared" si="32"/>
        <v>0</v>
      </c>
      <c r="N57" s="748">
        <f t="shared" si="38"/>
        <v>0</v>
      </c>
      <c r="O57" s="749">
        <f t="shared" si="39"/>
        <v>1000</v>
      </c>
      <c r="P57" s="668">
        <f t="shared" si="33"/>
        <v>0</v>
      </c>
      <c r="Q57" s="711">
        <f t="shared" si="36"/>
        <v>0</v>
      </c>
    </row>
    <row r="58" spans="1:17" x14ac:dyDescent="0.2">
      <c r="A58" s="370"/>
      <c r="B58" s="333" t="s">
        <v>34</v>
      </c>
      <c r="C58" s="672">
        <f>IF($C$10="ALEMANA",'Input Planilla Análisis'!G50,IF('Planilla Análisis ( isapre)'!$C$10="LAS CONDES",'Input Planilla Análisis'!H50,IF('Planilla Análisis ( isapre)'!$C$10="SANTA MARIA",'Input Planilla Análisis'!I50,IF('Planilla Análisis ( isapre)'!$C$10="SAN CARLOS",'Input Planilla Análisis'!J50,IF('Planilla Análisis ( isapre)'!$C$10="U.CHILE",'Input Planilla Análisis'!K50,IF('Planilla Análisis ( isapre)'!$C$10="INDISA",'Input Planilla Análisis'!L50,IF('Planilla Análisis ( isapre)'!$C$10="DAVILA",'Input Planilla Análisis'!M50,IF('Planilla Análisis ( isapre)'!$C$10="H.PROFESOR",'Input Planilla Análisis'!N50,0))))))))</f>
        <v>451561.22</v>
      </c>
      <c r="D58" s="667">
        <v>1</v>
      </c>
      <c r="E58" s="668">
        <f t="shared" si="29"/>
        <v>451561.22</v>
      </c>
      <c r="F58" s="690">
        <f t="shared" si="37"/>
        <v>0.8</v>
      </c>
      <c r="G58" s="668">
        <f>(H53/D3)*0.065</f>
        <v>12.228702091254753</v>
      </c>
      <c r="H58" s="668">
        <f t="shared" si="30"/>
        <v>321614.86499999999</v>
      </c>
      <c r="I58" s="673">
        <f t="shared" si="31"/>
        <v>129946.35499999998</v>
      </c>
      <c r="J58" s="365">
        <f t="shared" si="34"/>
        <v>1</v>
      </c>
      <c r="K58" s="209">
        <f>(L53/D3)*0.065</f>
        <v>24.714828897338403</v>
      </c>
      <c r="L58" s="209">
        <f t="shared" si="35"/>
        <v>451561.22</v>
      </c>
      <c r="M58" s="270">
        <f t="shared" si="32"/>
        <v>0</v>
      </c>
      <c r="N58" s="748">
        <f t="shared" si="38"/>
        <v>0</v>
      </c>
      <c r="O58" s="749">
        <f t="shared" si="39"/>
        <v>1000</v>
      </c>
      <c r="P58" s="668">
        <f t="shared" si="33"/>
        <v>0</v>
      </c>
      <c r="Q58" s="711">
        <f t="shared" si="36"/>
        <v>0</v>
      </c>
    </row>
    <row r="59" spans="1:17" x14ac:dyDescent="0.2">
      <c r="A59" s="370"/>
      <c r="B59" s="333" t="s">
        <v>35</v>
      </c>
      <c r="C59" s="672">
        <f>IF($C$10="ALEMANA",'Input Planilla Análisis'!G51,IF('Planilla Análisis ( isapre)'!$C$10="LAS CONDES",'Input Planilla Análisis'!H51,IF('Planilla Análisis ( isapre)'!$C$10="SANTA MARIA",'Input Planilla Análisis'!I51,IF('Planilla Análisis ( isapre)'!$C$10="SAN CARLOS",'Input Planilla Análisis'!J51,IF('Planilla Análisis ( isapre)'!$C$10="U.CHILE",'Input Planilla Análisis'!K51,IF('Planilla Análisis ( isapre)'!$C$10="INDISA",'Input Planilla Análisis'!L51,IF('Planilla Análisis ( isapre)'!$C$10="DAVILA",'Input Planilla Análisis'!M51,IF('Planilla Análisis ( isapre)'!$C$10="H.PROFESOR",'Input Planilla Análisis'!N51,0))))))))</f>
        <v>451561.22</v>
      </c>
      <c r="D59" s="667">
        <v>1</v>
      </c>
      <c r="E59" s="668">
        <f t="shared" si="29"/>
        <v>451561.22</v>
      </c>
      <c r="F59" s="690">
        <f t="shared" si="37"/>
        <v>0.8</v>
      </c>
      <c r="G59" s="668">
        <f>(H53/D3)*0.065</f>
        <v>12.228702091254753</v>
      </c>
      <c r="H59" s="668">
        <f t="shared" si="30"/>
        <v>321614.86499999999</v>
      </c>
      <c r="I59" s="673">
        <f t="shared" si="31"/>
        <v>129946.35499999998</v>
      </c>
      <c r="J59" s="365">
        <f t="shared" si="34"/>
        <v>1</v>
      </c>
      <c r="K59" s="209">
        <f>(L53/D3)*0.065</f>
        <v>24.714828897338403</v>
      </c>
      <c r="L59" s="209">
        <f t="shared" si="35"/>
        <v>451561.22</v>
      </c>
      <c r="M59" s="270">
        <f t="shared" si="32"/>
        <v>0</v>
      </c>
      <c r="N59" s="748">
        <f t="shared" si="38"/>
        <v>0</v>
      </c>
      <c r="O59" s="749">
        <f t="shared" si="39"/>
        <v>1000</v>
      </c>
      <c r="P59" s="668">
        <f t="shared" si="33"/>
        <v>0</v>
      </c>
      <c r="Q59" s="711">
        <f t="shared" si="36"/>
        <v>0</v>
      </c>
    </row>
    <row r="60" spans="1:17" x14ac:dyDescent="0.2">
      <c r="A60" s="370"/>
      <c r="B60" s="333" t="s">
        <v>36</v>
      </c>
      <c r="C60" s="672">
        <f>IF($C$10="ALEMANA",'Input Planilla Análisis'!G52,IF('Planilla Análisis ( isapre)'!$C$10="LAS CONDES",'Input Planilla Análisis'!H52,IF('Planilla Análisis ( isapre)'!$C$10="SANTA MARIA",'Input Planilla Análisis'!I52,IF('Planilla Análisis ( isapre)'!$C$10="SAN CARLOS",'Input Planilla Análisis'!J52,IF('Planilla Análisis ( isapre)'!$C$10="U.CHILE",'Input Planilla Análisis'!K52,IF('Planilla Análisis ( isapre)'!$C$10="INDISA",'Input Planilla Análisis'!L52,IF('Planilla Análisis ( isapre)'!$C$10="DAVILA",'Input Planilla Análisis'!M52,IF('Planilla Análisis ( isapre)'!$C$10="H.PROFESOR",'Input Planilla Análisis'!N52,0))))))))</f>
        <v>564227.32499999995</v>
      </c>
      <c r="D60" s="667">
        <v>1</v>
      </c>
      <c r="E60" s="668">
        <f t="shared" si="29"/>
        <v>564227.32499999995</v>
      </c>
      <c r="F60" s="690">
        <f t="shared" si="37"/>
        <v>0.8</v>
      </c>
      <c r="G60" s="668">
        <f>(H53/D3)*0.08</f>
        <v>15.050710266159697</v>
      </c>
      <c r="H60" s="668">
        <f t="shared" si="30"/>
        <v>395833.68000000005</v>
      </c>
      <c r="I60" s="673">
        <f t="shared" si="31"/>
        <v>168393.6449999999</v>
      </c>
      <c r="J60" s="365">
        <f t="shared" si="34"/>
        <v>1</v>
      </c>
      <c r="K60" s="209">
        <f>(L53/D3)*0.08</f>
        <v>30.418250950570343</v>
      </c>
      <c r="L60" s="209">
        <f t="shared" si="35"/>
        <v>564227.32499999995</v>
      </c>
      <c r="M60" s="270">
        <f t="shared" si="32"/>
        <v>0</v>
      </c>
      <c r="N60" s="748">
        <f t="shared" si="38"/>
        <v>0</v>
      </c>
      <c r="O60" s="749">
        <f t="shared" si="39"/>
        <v>1000</v>
      </c>
      <c r="P60" s="668">
        <f t="shared" si="33"/>
        <v>0</v>
      </c>
      <c r="Q60" s="711">
        <f t="shared" si="36"/>
        <v>0</v>
      </c>
    </row>
    <row r="61" spans="1:17" x14ac:dyDescent="0.2">
      <c r="A61" s="370"/>
      <c r="B61" s="333" t="s">
        <v>37</v>
      </c>
      <c r="C61" s="672">
        <f>IF($C$10="ALEMANA",'Input Planilla Análisis'!G53,IF('Planilla Análisis ( isapre)'!$C$10="LAS CONDES",'Input Planilla Análisis'!H53,IF('Planilla Análisis ( isapre)'!$C$10="SANTA MARIA",'Input Planilla Análisis'!I53,IF('Planilla Análisis ( isapre)'!$C$10="SAN CARLOS",'Input Planilla Análisis'!J53,IF('Planilla Análisis ( isapre)'!$C$10="U.CHILE",'Input Planilla Análisis'!K53,IF('Planilla Análisis ( isapre)'!$C$10="INDISA",'Input Planilla Análisis'!L53,IF('Planilla Análisis ( isapre)'!$C$10="DAVILA",'Input Planilla Análisis'!M53,IF('Planilla Análisis ( isapre)'!$C$10="H.PROFESOR",'Input Planilla Análisis'!N53,0))))))))</f>
        <v>225780.61</v>
      </c>
      <c r="D61" s="667">
        <v>1</v>
      </c>
      <c r="E61" s="668">
        <f t="shared" si="29"/>
        <v>225780.61</v>
      </c>
      <c r="F61" s="690">
        <f t="shared" si="37"/>
        <v>0.8</v>
      </c>
      <c r="G61" s="668">
        <f>(H53/D3)*0.03</f>
        <v>5.6440163498098865</v>
      </c>
      <c r="H61" s="668">
        <f t="shared" si="30"/>
        <v>148437.63</v>
      </c>
      <c r="I61" s="673">
        <f t="shared" si="31"/>
        <v>77342.979999999981</v>
      </c>
      <c r="J61" s="365">
        <f t="shared" si="34"/>
        <v>1</v>
      </c>
      <c r="K61" s="209">
        <f>(L53/D3)*0.03</f>
        <v>11.406844106463877</v>
      </c>
      <c r="L61" s="209">
        <f t="shared" si="35"/>
        <v>225780.61</v>
      </c>
      <c r="M61" s="270">
        <f t="shared" si="32"/>
        <v>0</v>
      </c>
      <c r="N61" s="748">
        <f t="shared" si="38"/>
        <v>0</v>
      </c>
      <c r="O61" s="749">
        <f t="shared" si="39"/>
        <v>1000</v>
      </c>
      <c r="P61" s="668">
        <f t="shared" si="33"/>
        <v>0</v>
      </c>
      <c r="Q61" s="711">
        <f t="shared" si="36"/>
        <v>0</v>
      </c>
    </row>
    <row r="62" spans="1:17" x14ac:dyDescent="0.2">
      <c r="A62" s="370"/>
      <c r="B62" s="333" t="s">
        <v>38</v>
      </c>
      <c r="C62" s="672">
        <f>IF($C$10="ALEMANA",'Input Planilla Análisis'!G54,IF('Planilla Análisis ( isapre)'!$C$10="LAS CONDES",'Input Planilla Análisis'!H54,IF('Planilla Análisis ( isapre)'!$C$10="SANTA MARIA",'Input Planilla Análisis'!I54,IF('Planilla Análisis ( isapre)'!$C$10="SAN CARLOS",'Input Planilla Análisis'!J54,IF('Planilla Análisis ( isapre)'!$C$10="U.CHILE",'Input Planilla Análisis'!K54,IF('Planilla Análisis ( isapre)'!$C$10="INDISA",'Input Planilla Análisis'!L54,IF('Planilla Análisis ( isapre)'!$C$10="DAVILA",'Input Planilla Análisis'!M54,IF('Planilla Análisis ( isapre)'!$C$10="H.PROFESOR",'Input Planilla Análisis'!N54,0))))))))</f>
        <v>1115428.6299999999</v>
      </c>
      <c r="D62" s="667">
        <v>1</v>
      </c>
      <c r="E62" s="668">
        <f t="shared" si="29"/>
        <v>1115428.6299999999</v>
      </c>
      <c r="F62" s="690">
        <f t="shared" si="37"/>
        <v>0.8</v>
      </c>
      <c r="G62" s="668">
        <f>(H53/D3)*0.15</f>
        <v>28.220081749049431</v>
      </c>
      <c r="H62" s="668">
        <f t="shared" si="30"/>
        <v>742188.15</v>
      </c>
      <c r="I62" s="673">
        <f t="shared" si="31"/>
        <v>373240.47999999986</v>
      </c>
      <c r="J62" s="365">
        <f t="shared" si="34"/>
        <v>1</v>
      </c>
      <c r="K62" s="209">
        <f>(L53/D3)*0.15</f>
        <v>57.034220532319388</v>
      </c>
      <c r="L62" s="209">
        <f t="shared" si="35"/>
        <v>1115428.6299999999</v>
      </c>
      <c r="M62" s="270">
        <f t="shared" si="32"/>
        <v>0</v>
      </c>
      <c r="N62" s="748">
        <f t="shared" si="38"/>
        <v>0</v>
      </c>
      <c r="O62" s="749">
        <f t="shared" si="39"/>
        <v>1000</v>
      </c>
      <c r="P62" s="668">
        <f t="shared" si="33"/>
        <v>0</v>
      </c>
      <c r="Q62" s="711">
        <f t="shared" si="36"/>
        <v>0</v>
      </c>
    </row>
    <row r="63" spans="1:17" ht="12" thickBot="1" x14ac:dyDescent="0.25">
      <c r="A63" s="85"/>
      <c r="B63" s="351" t="s">
        <v>5</v>
      </c>
      <c r="C63" s="674">
        <f>SUM(C54:C62)</f>
        <v>6985276.0899999999</v>
      </c>
      <c r="D63" s="675"/>
      <c r="E63" s="676">
        <f>SUM(E54:E62)</f>
        <v>6985276.0899999999</v>
      </c>
      <c r="F63" s="675"/>
      <c r="G63" s="693"/>
      <c r="H63" s="778">
        <f>SUM(H54:H62)</f>
        <v>4947921.0000000019</v>
      </c>
      <c r="I63" s="694">
        <f>SUM(I54:I62)</f>
        <v>2037355.0899999994</v>
      </c>
      <c r="J63" s="216"/>
      <c r="K63" s="216"/>
      <c r="L63" s="429">
        <f>SUM(L54:L62)</f>
        <v>6985276.0899999999</v>
      </c>
      <c r="M63" s="428">
        <f>SUM(M54:M62)</f>
        <v>0</v>
      </c>
      <c r="N63" s="744"/>
      <c r="O63" s="752"/>
      <c r="P63" s="746">
        <f>SUM(P54:P62)</f>
        <v>0</v>
      </c>
      <c r="Q63" s="747">
        <f>SUM(Q54:Q62)</f>
        <v>0</v>
      </c>
    </row>
    <row r="64" spans="1:17" x14ac:dyDescent="0.2">
      <c r="A64" s="85"/>
      <c r="B64" s="351" t="s">
        <v>77</v>
      </c>
      <c r="C64" s="668"/>
      <c r="D64" s="667"/>
      <c r="E64" s="667"/>
      <c r="F64" s="667"/>
      <c r="G64" s="695"/>
      <c r="H64" s="680">
        <f>H63/E63</f>
        <v>0.70833578175719636</v>
      </c>
      <c r="I64" s="681"/>
      <c r="J64" s="273"/>
      <c r="K64" s="211"/>
      <c r="L64" s="426">
        <f>L63/E63</f>
        <v>1</v>
      </c>
      <c r="M64" s="358"/>
      <c r="N64" s="760"/>
      <c r="O64" s="758"/>
      <c r="P64" s="754">
        <f>(L63+P63)/E63</f>
        <v>1</v>
      </c>
      <c r="Q64" s="759"/>
    </row>
    <row r="65" spans="1:17" x14ac:dyDescent="0.2">
      <c r="A65" s="85"/>
      <c r="B65" s="351"/>
      <c r="C65" s="668"/>
      <c r="D65" s="667"/>
      <c r="E65" s="667"/>
      <c r="F65" s="667"/>
      <c r="G65" s="695"/>
      <c r="H65" s="668"/>
      <c r="I65" s="681"/>
      <c r="J65" s="211"/>
      <c r="K65" s="211"/>
      <c r="L65" s="209"/>
      <c r="M65" s="360"/>
      <c r="N65" s="757"/>
      <c r="O65" s="758"/>
      <c r="P65" s="761"/>
      <c r="Q65" s="759"/>
    </row>
    <row r="66" spans="1:17" x14ac:dyDescent="0.2">
      <c r="A66" s="85"/>
      <c r="B66" s="351"/>
      <c r="C66" s="668"/>
      <c r="D66" s="667"/>
      <c r="E66" s="667"/>
      <c r="F66" s="667"/>
      <c r="G66" s="667"/>
      <c r="H66" s="668"/>
      <c r="I66" s="681"/>
      <c r="J66" s="211"/>
      <c r="K66" s="211"/>
      <c r="L66" s="209"/>
      <c r="M66" s="360"/>
      <c r="N66" s="748"/>
      <c r="O66" s="749"/>
      <c r="P66" s="750"/>
      <c r="Q66" s="751"/>
    </row>
    <row r="67" spans="1:17" x14ac:dyDescent="0.2">
      <c r="A67" s="85"/>
      <c r="B67" s="409" t="s">
        <v>64</v>
      </c>
      <c r="C67" s="696"/>
      <c r="D67" s="684"/>
      <c r="E67" s="685">
        <f>E50+E63</f>
        <v>28341233.739999998</v>
      </c>
      <c r="F67" s="684"/>
      <c r="G67" s="696"/>
      <c r="H67" s="685">
        <f>H50+H63</f>
        <v>19709178.650000002</v>
      </c>
      <c r="I67" s="685">
        <f>I50+I63</f>
        <v>8632055.0899999999</v>
      </c>
      <c r="J67" s="410"/>
      <c r="K67" s="805">
        <f>L50+L63</f>
        <v>21746533.740000002</v>
      </c>
      <c r="L67" s="805"/>
      <c r="M67" s="434">
        <f>M50+M63</f>
        <v>6594700</v>
      </c>
      <c r="N67" s="762"/>
      <c r="O67" s="763"/>
      <c r="P67" s="764">
        <f>+P50+P63</f>
        <v>0</v>
      </c>
      <c r="Q67" s="765">
        <f>+Q50+Q63</f>
        <v>6594700</v>
      </c>
    </row>
    <row r="68" spans="1:17" ht="11.25" customHeight="1" x14ac:dyDescent="0.2">
      <c r="A68" s="85"/>
      <c r="B68" s="333"/>
      <c r="C68" s="668"/>
      <c r="D68" s="667"/>
      <c r="E68" s="667"/>
      <c r="F68" s="667"/>
      <c r="G68" s="668"/>
      <c r="H68" s="697"/>
      <c r="I68" s="681"/>
      <c r="J68" s="211"/>
      <c r="K68" s="211"/>
      <c r="L68" s="372"/>
      <c r="M68" s="209"/>
      <c r="N68" s="748"/>
      <c r="O68" s="749"/>
      <c r="P68" s="766"/>
      <c r="Q68" s="751"/>
    </row>
    <row r="69" spans="1:17" x14ac:dyDescent="0.2">
      <c r="A69" s="85"/>
      <c r="B69" s="85"/>
      <c r="C69" s="667"/>
      <c r="D69" s="667"/>
      <c r="E69" s="667"/>
      <c r="F69" s="667" t="s">
        <v>440</v>
      </c>
      <c r="G69" s="667"/>
      <c r="H69" s="667"/>
      <c r="I69" s="663"/>
      <c r="J69" s="211"/>
      <c r="K69" s="211"/>
      <c r="L69" s="211"/>
      <c r="M69" s="211"/>
      <c r="N69" s="748"/>
      <c r="O69" s="749"/>
      <c r="P69" s="750"/>
      <c r="Q69" s="751"/>
    </row>
    <row r="70" spans="1:17" ht="12" thickBot="1" x14ac:dyDescent="0.25">
      <c r="A70" s="85"/>
      <c r="B70" s="351" t="s">
        <v>447</v>
      </c>
      <c r="C70" s="668"/>
      <c r="D70" s="667"/>
      <c r="E70" s="667"/>
      <c r="F70" s="664">
        <v>0.5</v>
      </c>
      <c r="G70" s="667"/>
      <c r="H70" s="667"/>
      <c r="I70" s="663"/>
      <c r="J70" s="211"/>
      <c r="K70" s="211"/>
      <c r="L70" s="211"/>
      <c r="M70" s="211"/>
      <c r="N70" s="748"/>
      <c r="O70" s="749"/>
      <c r="P70" s="750"/>
      <c r="Q70" s="751"/>
    </row>
    <row r="71" spans="1:17" x14ac:dyDescent="0.2">
      <c r="A71" s="85"/>
      <c r="B71" s="333" t="s">
        <v>20</v>
      </c>
      <c r="C71" s="666">
        <f>IF($C$10="ALEMANA",'Input Planilla Análisis'!G62,IF('Planilla Análisis ( isapre)'!$C$10="LAS CONDES",'Input Planilla Análisis'!H62,IF('Planilla Análisis ( isapre)'!$C$10="SANTA MARIA",'Input Planilla Análisis'!I62,IF('Planilla Análisis ( isapre)'!$C$10="SAN CARLOS",'Input Planilla Análisis'!J62,IF('Planilla Análisis ( isapre)'!$C$10="U.CHILE",'Input Planilla Análisis'!K62,IF('Planilla Análisis ( isapre)'!$C$10="INDISA",'Input Planilla Análisis'!L62,IF('Planilla Análisis ( isapre)'!$C$10="DAVILA",'Input Planilla Análisis'!M62,IF('Planilla Análisis ( isapre)'!$C$10="H.PROFESOR",'Input Planilla Análisis'!N62,0))))))))</f>
        <v>638303.1</v>
      </c>
      <c r="D71" s="667">
        <v>1</v>
      </c>
      <c r="E71" s="668">
        <f t="shared" ref="E71:E76" si="40">C71*D71</f>
        <v>638303.1</v>
      </c>
      <c r="F71" s="690">
        <f>Datos!E13</f>
        <v>1</v>
      </c>
      <c r="G71" s="668">
        <f>Datos!F13</f>
        <v>500</v>
      </c>
      <c r="H71" s="668">
        <f t="shared" ref="H71:H76" si="41">(MIN($C71*F71,G71*$D$3))*$D71</f>
        <v>638303.1</v>
      </c>
      <c r="I71" s="671">
        <f t="shared" ref="I71:I76" si="42">E71-H71</f>
        <v>0</v>
      </c>
      <c r="J71" s="365">
        <v>1</v>
      </c>
      <c r="K71" s="209">
        <v>500</v>
      </c>
      <c r="L71" s="209">
        <f>MIN($C71*J71,K71*$D$3)*$D71</f>
        <v>638303.1</v>
      </c>
      <c r="M71" s="356">
        <f t="shared" ref="M71:M76" si="43">E71-L71</f>
        <v>0</v>
      </c>
      <c r="N71" s="748">
        <f>+N62</f>
        <v>0</v>
      </c>
      <c r="O71" s="749">
        <v>1000</v>
      </c>
      <c r="P71" s="668">
        <f t="shared" ref="P71:P76" si="44">MIN(M71*N71,O71*$D$3)</f>
        <v>0</v>
      </c>
      <c r="Q71" s="709">
        <f>M71-P71</f>
        <v>0</v>
      </c>
    </row>
    <row r="72" spans="1:17" ht="12" thickBot="1" x14ac:dyDescent="0.25">
      <c r="A72" s="85"/>
      <c r="B72" s="333" t="s">
        <v>40</v>
      </c>
      <c r="C72" s="672">
        <f>IF($C$10="ALEMANA",'Input Planilla Análisis'!G63,IF('Planilla Análisis ( isapre)'!$C$10="LAS CONDES",'Input Planilla Análisis'!H63,IF('Planilla Análisis ( isapre)'!$C$10="SANTA MARIA",'Input Planilla Análisis'!I63,IF('Planilla Análisis ( isapre)'!$C$10="SAN CARLOS",'Input Planilla Análisis'!J63,IF('Planilla Análisis ( isapre)'!$C$10="U.CHILE",'Input Planilla Análisis'!K63,IF('Planilla Análisis ( isapre)'!$C$10="INDISA",'Input Planilla Análisis'!L63,IF('Planilla Análisis ( isapre)'!$C$10="DAVILA",'Input Planilla Análisis'!M63,IF('Planilla Análisis ( isapre)'!$C$10="H.PROFESOR",'Input Planilla Análisis'!N63,0))))))))</f>
        <v>94804.299999999988</v>
      </c>
      <c r="D72" s="667">
        <v>1</v>
      </c>
      <c r="E72" s="668">
        <f t="shared" si="40"/>
        <v>94804.299999999988</v>
      </c>
      <c r="F72" s="690">
        <f>+F71</f>
        <v>1</v>
      </c>
      <c r="G72" s="668">
        <f>G71</f>
        <v>500</v>
      </c>
      <c r="H72" s="668">
        <f t="shared" si="41"/>
        <v>94804.299999999988</v>
      </c>
      <c r="I72" s="673">
        <f t="shared" si="42"/>
        <v>0</v>
      </c>
      <c r="J72" s="365">
        <f>J71</f>
        <v>1</v>
      </c>
      <c r="K72" s="209">
        <v>500</v>
      </c>
      <c r="L72" s="209">
        <f t="shared" ref="L72:L76" si="45">MIN($C72*J72,K72*$D$3)*$D72</f>
        <v>94804.299999999988</v>
      </c>
      <c r="M72" s="270">
        <f t="shared" si="43"/>
        <v>0</v>
      </c>
      <c r="N72" s="748">
        <f>+N71</f>
        <v>0</v>
      </c>
      <c r="O72" s="749">
        <f>+O71</f>
        <v>1000</v>
      </c>
      <c r="P72" s="668">
        <f t="shared" si="44"/>
        <v>0</v>
      </c>
      <c r="Q72" s="711">
        <f t="shared" ref="Q72:Q76" si="46">M72-P72</f>
        <v>0</v>
      </c>
    </row>
    <row r="73" spans="1:17" ht="12" thickBot="1" x14ac:dyDescent="0.25">
      <c r="A73" s="85"/>
      <c r="B73" s="366" t="s">
        <v>41</v>
      </c>
      <c r="C73" s="672">
        <f>IF($C$10="ALEMANA",'Input Planilla Análisis'!G64,IF('Planilla Análisis ( isapre)'!$C$10="LAS CONDES",'Input Planilla Análisis'!H64,IF('Planilla Análisis ( isapre)'!$C$10="SANTA MARIA",'Input Planilla Análisis'!I64,IF('Planilla Análisis ( isapre)'!$C$10="SAN CARLOS",'Input Planilla Análisis'!J64,IF('Planilla Análisis ( isapre)'!$C$10="U.CHILE",'Input Planilla Análisis'!K64,IF('Planilla Análisis ( isapre)'!$C$10="INDISA",'Input Planilla Análisis'!L64,IF('Planilla Análisis ( isapre)'!$C$10="DAVILA",'Input Planilla Análisis'!M64,IF('Planilla Análisis ( isapre)'!$C$10="H.PROFESOR",'Input Planilla Análisis'!N64,0))))))))</f>
        <v>288040</v>
      </c>
      <c r="D73" s="667">
        <v>1</v>
      </c>
      <c r="E73" s="668">
        <f t="shared" si="40"/>
        <v>288040</v>
      </c>
      <c r="F73" s="690">
        <f>+F72</f>
        <v>1</v>
      </c>
      <c r="G73" s="668">
        <f>G71</f>
        <v>500</v>
      </c>
      <c r="H73" s="668">
        <f t="shared" si="41"/>
        <v>288040</v>
      </c>
      <c r="I73" s="673">
        <f t="shared" si="42"/>
        <v>0</v>
      </c>
      <c r="J73" s="365">
        <f>J72</f>
        <v>1</v>
      </c>
      <c r="K73" s="209">
        <v>500</v>
      </c>
      <c r="L73" s="209">
        <f t="shared" si="45"/>
        <v>288040</v>
      </c>
      <c r="M73" s="270">
        <f t="shared" si="43"/>
        <v>0</v>
      </c>
      <c r="N73" s="748">
        <f t="shared" ref="N73:N76" si="47">+N72</f>
        <v>0</v>
      </c>
      <c r="O73" s="755">
        <f>c.s.i!E16</f>
        <v>2.5</v>
      </c>
      <c r="P73" s="668">
        <f t="shared" si="44"/>
        <v>0</v>
      </c>
      <c r="Q73" s="711">
        <f t="shared" si="46"/>
        <v>0</v>
      </c>
    </row>
    <row r="74" spans="1:17" x14ac:dyDescent="0.2">
      <c r="A74" s="85"/>
      <c r="B74" s="333" t="s">
        <v>24</v>
      </c>
      <c r="C74" s="672">
        <f>IF($C$10="ALEMANA",'Input Planilla Análisis'!G65,IF('Planilla Análisis ( isapre)'!$C$10="LAS CONDES",'Input Planilla Análisis'!H65,IF('Planilla Análisis ( isapre)'!$C$10="SANTA MARIA",'Input Planilla Análisis'!I65,IF('Planilla Análisis ( isapre)'!$C$10="SAN CARLOS",'Input Planilla Análisis'!J65,IF('Planilla Análisis ( isapre)'!$C$10="U.CHILE",'Input Planilla Análisis'!K65,IF('Planilla Análisis ( isapre)'!$C$10="INDISA",'Input Planilla Análisis'!L65,IF('Planilla Análisis ( isapre)'!$C$10="DAVILA",'Input Planilla Análisis'!M65,IF('Planilla Análisis ( isapre)'!$C$10="H.PROFESOR",'Input Planilla Análisis'!N65,0))))))))</f>
        <v>162511.75</v>
      </c>
      <c r="D74" s="667">
        <v>1</v>
      </c>
      <c r="E74" s="668">
        <f t="shared" si="40"/>
        <v>162511.75</v>
      </c>
      <c r="F74" s="690">
        <f t="shared" ref="F74:F76" si="48">+F73</f>
        <v>1</v>
      </c>
      <c r="G74" s="668">
        <f>G71</f>
        <v>500</v>
      </c>
      <c r="H74" s="668">
        <f t="shared" si="41"/>
        <v>162511.75</v>
      </c>
      <c r="I74" s="673">
        <f t="shared" si="42"/>
        <v>0</v>
      </c>
      <c r="J74" s="365">
        <f>J73</f>
        <v>1</v>
      </c>
      <c r="K74" s="209">
        <v>500</v>
      </c>
      <c r="L74" s="209">
        <f t="shared" si="45"/>
        <v>162511.75</v>
      </c>
      <c r="M74" s="270">
        <f t="shared" si="43"/>
        <v>0</v>
      </c>
      <c r="N74" s="748">
        <f t="shared" si="47"/>
        <v>0</v>
      </c>
      <c r="O74" s="749">
        <v>1000</v>
      </c>
      <c r="P74" s="668">
        <f t="shared" si="44"/>
        <v>0</v>
      </c>
      <c r="Q74" s="711">
        <f t="shared" si="46"/>
        <v>0</v>
      </c>
    </row>
    <row r="75" spans="1:17" x14ac:dyDescent="0.2">
      <c r="A75" s="85"/>
      <c r="B75" s="333" t="s">
        <v>25</v>
      </c>
      <c r="C75" s="672">
        <f>IF($C$10="ALEMANA",'Input Planilla Análisis'!G66,IF('Planilla Análisis ( isapre)'!$C$10="LAS CONDES",'Input Planilla Análisis'!H66,IF('Planilla Análisis ( isapre)'!$C$10="SANTA MARIA",'Input Planilla Análisis'!I66,IF('Planilla Análisis ( isapre)'!$C$10="SAN CARLOS",'Input Planilla Análisis'!J66,IF('Planilla Análisis ( isapre)'!$C$10="U.CHILE",'Input Planilla Análisis'!K66,IF('Planilla Análisis ( isapre)'!$C$10="INDISA",'Input Planilla Análisis'!L66,IF('Planilla Análisis ( isapre)'!$C$10="DAVILA",'Input Planilla Análisis'!M66,IF('Planilla Análisis ( isapre)'!$C$10="H.PROFESOR",'Input Planilla Análisis'!N66,0))))))))</f>
        <v>143124.15</v>
      </c>
      <c r="D75" s="667">
        <v>1</v>
      </c>
      <c r="E75" s="668">
        <f t="shared" si="40"/>
        <v>143124.15</v>
      </c>
      <c r="F75" s="690">
        <f t="shared" si="48"/>
        <v>1</v>
      </c>
      <c r="G75" s="668">
        <f>G71</f>
        <v>500</v>
      </c>
      <c r="H75" s="668">
        <f t="shared" si="41"/>
        <v>143124.15</v>
      </c>
      <c r="I75" s="673">
        <f t="shared" si="42"/>
        <v>0</v>
      </c>
      <c r="J75" s="365">
        <f>J74</f>
        <v>1</v>
      </c>
      <c r="K75" s="209">
        <v>500</v>
      </c>
      <c r="L75" s="209">
        <f t="shared" si="45"/>
        <v>143124.15</v>
      </c>
      <c r="M75" s="270">
        <f t="shared" si="43"/>
        <v>0</v>
      </c>
      <c r="N75" s="748">
        <f t="shared" si="47"/>
        <v>0</v>
      </c>
      <c r="O75" s="749">
        <f>+O74</f>
        <v>1000</v>
      </c>
      <c r="P75" s="668">
        <f t="shared" si="44"/>
        <v>0</v>
      </c>
      <c r="Q75" s="711">
        <f t="shared" si="46"/>
        <v>0</v>
      </c>
    </row>
    <row r="76" spans="1:17" x14ac:dyDescent="0.2">
      <c r="A76" s="85"/>
      <c r="B76" s="333" t="s">
        <v>42</v>
      </c>
      <c r="C76" s="672">
        <f>IF($C$10="ALEMANA",'Input Planilla Análisis'!G67,IF('Planilla Análisis ( isapre)'!$C$10="LAS CONDES",'Input Planilla Análisis'!H67,IF('Planilla Análisis ( isapre)'!$C$10="SANTA MARIA",'Input Planilla Análisis'!I67,IF('Planilla Análisis ( isapre)'!$C$10="SAN CARLOS",'Input Planilla Análisis'!J67,IF('Planilla Análisis ( isapre)'!$C$10="U.CHILE",'Input Planilla Análisis'!K67,IF('Planilla Análisis ( isapre)'!$C$10="INDISA",'Input Planilla Análisis'!L67,IF('Planilla Análisis ( isapre)'!$C$10="DAVILA",'Input Planilla Análisis'!M67,IF('Planilla Análisis ( isapre)'!$C$10="H.PROFESOR",'Input Planilla Análisis'!N67,0))))))))</f>
        <v>102017.65</v>
      </c>
      <c r="D76" s="667">
        <v>1</v>
      </c>
      <c r="E76" s="668">
        <f t="shared" si="40"/>
        <v>102017.65</v>
      </c>
      <c r="F76" s="690">
        <f t="shared" si="48"/>
        <v>1</v>
      </c>
      <c r="G76" s="668">
        <f>G71</f>
        <v>500</v>
      </c>
      <c r="H76" s="668">
        <f t="shared" si="41"/>
        <v>102017.65</v>
      </c>
      <c r="I76" s="673">
        <f t="shared" si="42"/>
        <v>0</v>
      </c>
      <c r="J76" s="365">
        <f>J75</f>
        <v>1</v>
      </c>
      <c r="K76" s="209">
        <v>500</v>
      </c>
      <c r="L76" s="209">
        <f t="shared" si="45"/>
        <v>102017.65</v>
      </c>
      <c r="M76" s="270">
        <f t="shared" si="43"/>
        <v>0</v>
      </c>
      <c r="N76" s="748">
        <f t="shared" si="47"/>
        <v>0</v>
      </c>
      <c r="O76" s="749">
        <f>+O75</f>
        <v>1000</v>
      </c>
      <c r="P76" s="668">
        <f t="shared" si="44"/>
        <v>0</v>
      </c>
      <c r="Q76" s="711">
        <f t="shared" si="46"/>
        <v>0</v>
      </c>
    </row>
    <row r="77" spans="1:17" ht="12" customHeight="1" thickBot="1" x14ac:dyDescent="0.25">
      <c r="A77" s="85"/>
      <c r="B77" s="351" t="s">
        <v>5</v>
      </c>
      <c r="C77" s="674">
        <f>SUM(C71:C76)</f>
        <v>1428800.9499999997</v>
      </c>
      <c r="D77" s="675"/>
      <c r="E77" s="676">
        <f>SUM(E71:E76)</f>
        <v>1428800.9499999997</v>
      </c>
      <c r="F77" s="698"/>
      <c r="G77" s="676"/>
      <c r="H77" s="676">
        <f>SUM(H71:H76)</f>
        <v>1428800.9499999997</v>
      </c>
      <c r="I77" s="694">
        <f>SUM(I71:I76)</f>
        <v>0</v>
      </c>
      <c r="J77" s="405"/>
      <c r="K77" s="210"/>
      <c r="L77" s="429">
        <f>SUM(L71:L76)</f>
        <v>1428800.9499999997</v>
      </c>
      <c r="M77" s="428">
        <f>SUM(M71:M76)</f>
        <v>0</v>
      </c>
      <c r="N77" s="744"/>
      <c r="O77" s="752"/>
      <c r="P77" s="746">
        <f>SUM(P71:P76)</f>
        <v>0</v>
      </c>
      <c r="Q77" s="747">
        <f>SUM(Q71:Q76)</f>
        <v>0</v>
      </c>
    </row>
    <row r="78" spans="1:17" x14ac:dyDescent="0.2">
      <c r="A78" s="85"/>
      <c r="B78" s="351" t="s">
        <v>77</v>
      </c>
      <c r="C78" s="668"/>
      <c r="D78" s="667"/>
      <c r="E78" s="668"/>
      <c r="F78" s="690"/>
      <c r="G78" s="668"/>
      <c r="H78" s="680">
        <f>H77/E77</f>
        <v>1</v>
      </c>
      <c r="I78" s="681"/>
      <c r="J78" s="365"/>
      <c r="K78" s="209"/>
      <c r="L78" s="362">
        <f>L77/E77</f>
        <v>1</v>
      </c>
      <c r="M78" s="360"/>
      <c r="N78" s="757"/>
      <c r="O78" s="758"/>
      <c r="P78" s="754">
        <f>(L77+P77)/E77</f>
        <v>1</v>
      </c>
      <c r="Q78" s="759"/>
    </row>
    <row r="79" spans="1:17" x14ac:dyDescent="0.2">
      <c r="A79" s="85"/>
      <c r="B79" s="351"/>
      <c r="C79" s="668"/>
      <c r="D79" s="667"/>
      <c r="E79" s="668"/>
      <c r="F79" s="690" t="s">
        <v>440</v>
      </c>
      <c r="G79" s="668"/>
      <c r="H79" s="668"/>
      <c r="I79" s="681"/>
      <c r="J79" s="365"/>
      <c r="K79" s="209"/>
      <c r="L79" s="209"/>
      <c r="M79" s="360"/>
      <c r="N79" s="748"/>
      <c r="O79" s="749"/>
      <c r="P79" s="750"/>
      <c r="Q79" s="751"/>
    </row>
    <row r="80" spans="1:17" ht="12" thickBot="1" x14ac:dyDescent="0.25">
      <c r="A80" s="85"/>
      <c r="B80" s="351" t="s">
        <v>61</v>
      </c>
      <c r="C80" s="668"/>
      <c r="D80" s="667"/>
      <c r="E80" s="667"/>
      <c r="F80" s="664">
        <v>0.31</v>
      </c>
      <c r="G80" s="667"/>
      <c r="H80" s="691">
        <f>Datos!F14*Datos!$K$2</f>
        <v>908821.99999999988</v>
      </c>
      <c r="I80" s="663"/>
      <c r="J80" s="211"/>
      <c r="K80" s="211"/>
      <c r="L80" s="585">
        <v>10000000</v>
      </c>
      <c r="M80" s="211"/>
      <c r="N80" s="748"/>
      <c r="O80" s="749"/>
      <c r="P80" s="750"/>
      <c r="Q80" s="751"/>
    </row>
    <row r="81" spans="1:18" x14ac:dyDescent="0.2">
      <c r="A81" s="370"/>
      <c r="B81" s="333" t="s">
        <v>30</v>
      </c>
      <c r="C81" s="666">
        <f>IF($C$10="ALEMANA",'Input Planilla Análisis'!G72,IF('Planilla Análisis ( isapre)'!$C$10="LAS CONDES",'Input Planilla Análisis'!H72,IF('Planilla Análisis ( isapre)'!$C$10="SANTA MARIA",'Input Planilla Análisis'!I72,IF('Planilla Análisis ( isapre)'!$C$10="SAN CARLOS",'Input Planilla Análisis'!J72,IF('Planilla Análisis ( isapre)'!$C$10="U.CHILE",'Input Planilla Análisis'!K72,IF('Planilla Análisis ( isapre)'!$C$10="INDISA",'Input Planilla Análisis'!L72,IF('Planilla Análisis ( isapre)'!$C$10="DAVILA",'Input Planilla Análisis'!M72,IF('Planilla Análisis ( isapre)'!$C$10="H.PROFESOR",'Input Planilla Análisis'!N72,0))))))))</f>
        <v>509528.13</v>
      </c>
      <c r="D81" s="667">
        <v>1</v>
      </c>
      <c r="E81" s="668">
        <f>C81*D81</f>
        <v>509528.13</v>
      </c>
      <c r="F81" s="690">
        <f>Datos!E14</f>
        <v>0.8</v>
      </c>
      <c r="G81" s="790">
        <f>(H80/D3)*0.625</f>
        <v>21.597480988593155</v>
      </c>
      <c r="H81" s="668">
        <f t="shared" ref="H81:H84" si="49">(MIN($C81*F81,G81*$D$3))*$D81</f>
        <v>407622.50400000002</v>
      </c>
      <c r="I81" s="671">
        <f>E81-H81</f>
        <v>101905.62599999999</v>
      </c>
      <c r="J81" s="365">
        <v>1</v>
      </c>
      <c r="K81" s="209">
        <f>(L80/D3)*0.625</f>
        <v>237.6425855513308</v>
      </c>
      <c r="L81" s="209">
        <f>MIN($C81*J81,K81*$D$3)*$D81</f>
        <v>509528.13</v>
      </c>
      <c r="M81" s="356">
        <f>E81-L81</f>
        <v>0</v>
      </c>
      <c r="N81" s="748">
        <f>+N76</f>
        <v>0</v>
      </c>
      <c r="O81" s="749">
        <v>1000</v>
      </c>
      <c r="P81" s="668">
        <f t="shared" ref="P81:P84" si="50">MIN(M81*N81,O81*$D$3)</f>
        <v>0</v>
      </c>
      <c r="Q81" s="709">
        <f>M81-P81</f>
        <v>0</v>
      </c>
    </row>
    <row r="82" spans="1:18" x14ac:dyDescent="0.2">
      <c r="A82" s="370"/>
      <c r="B82" s="333" t="s">
        <v>43</v>
      </c>
      <c r="C82" s="672">
        <f>IF($C$10="ALEMANA",'Input Planilla Análisis'!G73,IF('Planilla Análisis ( isapre)'!$C$10="LAS CONDES",'Input Planilla Análisis'!H73,IF('Planilla Análisis ( isapre)'!$C$10="SANTA MARIA",'Input Planilla Análisis'!I73,IF('Planilla Análisis ( isapre)'!$C$10="SAN CARLOS",'Input Planilla Análisis'!J73,IF('Planilla Análisis ( isapre)'!$C$10="U.CHILE",'Input Planilla Análisis'!K73,IF('Planilla Análisis ( isapre)'!$C$10="INDISA",'Input Planilla Análisis'!L73,IF('Planilla Análisis ( isapre)'!$C$10="DAVILA",'Input Planilla Análisis'!M73,IF('Planilla Análisis ( isapre)'!$C$10="H.PROFESOR",'Input Planilla Análisis'!N73,0))))))))</f>
        <v>152858.43899999998</v>
      </c>
      <c r="D82" s="667">
        <v>1</v>
      </c>
      <c r="E82" s="668">
        <f>C82*D82</f>
        <v>152858.43899999998</v>
      </c>
      <c r="F82" s="690">
        <f>+F81</f>
        <v>0.8</v>
      </c>
      <c r="G82" s="790">
        <f>(H80/D3)*0.1875</f>
        <v>6.4792442965779458</v>
      </c>
      <c r="H82" s="668">
        <f t="shared" si="49"/>
        <v>122286.7512</v>
      </c>
      <c r="I82" s="673">
        <f>E82-H82</f>
        <v>30571.687799999985</v>
      </c>
      <c r="J82" s="365">
        <f>J81</f>
        <v>1</v>
      </c>
      <c r="K82" s="209">
        <f>(L80/D3)*0.1875</f>
        <v>71.292775665399233</v>
      </c>
      <c r="L82" s="209">
        <f t="shared" ref="L82:L84" si="51">MIN($C82*J82,K82*$D$3)*$D82</f>
        <v>152858.43899999998</v>
      </c>
      <c r="M82" s="270">
        <f>E82-L82</f>
        <v>0</v>
      </c>
      <c r="N82" s="748">
        <f>+N81</f>
        <v>0</v>
      </c>
      <c r="O82" s="749">
        <f>+O81</f>
        <v>1000</v>
      </c>
      <c r="P82" s="668">
        <f t="shared" si="50"/>
        <v>0</v>
      </c>
      <c r="Q82" s="711">
        <f>M82-P82</f>
        <v>0</v>
      </c>
    </row>
    <row r="83" spans="1:18" x14ac:dyDescent="0.2">
      <c r="A83" s="370"/>
      <c r="B83" s="333" t="s">
        <v>44</v>
      </c>
      <c r="C83" s="672">
        <f>IF($C$10="ALEMANA",'Input Planilla Análisis'!G74,IF('Planilla Análisis ( isapre)'!$C$10="LAS CONDES",'Input Planilla Análisis'!H74,IF('Planilla Análisis ( isapre)'!$C$10="SANTA MARIA",'Input Planilla Análisis'!I74,IF('Planilla Análisis ( isapre)'!$C$10="SAN CARLOS",'Input Planilla Análisis'!J74,IF('Planilla Análisis ( isapre)'!$C$10="U.CHILE",'Input Planilla Análisis'!K74,IF('Planilla Análisis ( isapre)'!$C$10="INDISA",'Input Planilla Análisis'!L74,IF('Planilla Análisis ( isapre)'!$C$10="DAVILA",'Input Planilla Análisis'!M74,IF('Planilla Análisis ( isapre)'!$C$10="H.PROFESOR",'Input Planilla Análisis'!N74,0))))))))</f>
        <v>101905.62599999999</v>
      </c>
      <c r="D83" s="667">
        <v>1</v>
      </c>
      <c r="E83" s="668">
        <f>C83*D83</f>
        <v>101905.62599999999</v>
      </c>
      <c r="F83" s="690">
        <f t="shared" ref="F83:F84" si="52">+F82</f>
        <v>0.8</v>
      </c>
      <c r="G83" s="790">
        <f>(H80/D3)*0.125</f>
        <v>4.3194961977186308</v>
      </c>
      <c r="H83" s="668">
        <f t="shared" si="49"/>
        <v>81524.500799999994</v>
      </c>
      <c r="I83" s="673">
        <f>E83-H83</f>
        <v>20381.125199999995</v>
      </c>
      <c r="J83" s="365">
        <f>J82</f>
        <v>1</v>
      </c>
      <c r="K83" s="209">
        <f>(L80/D3)*0.125</f>
        <v>47.528517110266158</v>
      </c>
      <c r="L83" s="209">
        <f t="shared" si="51"/>
        <v>101905.62599999999</v>
      </c>
      <c r="M83" s="270">
        <f>E83-L83</f>
        <v>0</v>
      </c>
      <c r="N83" s="748">
        <f t="shared" ref="N83:N84" si="53">+N82</f>
        <v>0</v>
      </c>
      <c r="O83" s="749">
        <f t="shared" ref="O83:O84" si="54">+O82</f>
        <v>1000</v>
      </c>
      <c r="P83" s="668">
        <f t="shared" si="50"/>
        <v>0</v>
      </c>
      <c r="Q83" s="711">
        <f>M83-P83</f>
        <v>0</v>
      </c>
    </row>
    <row r="84" spans="1:18" x14ac:dyDescent="0.2">
      <c r="A84" s="370"/>
      <c r="B84" s="333" t="s">
        <v>37</v>
      </c>
      <c r="C84" s="672">
        <f>IF($C$10="ALEMANA",'Input Planilla Análisis'!G75,IF('Planilla Análisis ( isapre)'!$C$10="LAS CONDES",'Input Planilla Análisis'!H75,IF('Planilla Análisis ( isapre)'!$C$10="SANTA MARIA",'Input Planilla Análisis'!I75,IF('Planilla Análisis ( isapre)'!$C$10="SAN CARLOS",'Input Planilla Análisis'!J75,IF('Planilla Análisis ( isapre)'!$C$10="U.CHILE",'Input Planilla Análisis'!K75,IF('Planilla Análisis ( isapre)'!$C$10="INDISA",'Input Planilla Análisis'!L75,IF('Planilla Análisis ( isapre)'!$C$10="DAVILA",'Input Planilla Análisis'!M75,IF('Planilla Análisis ( isapre)'!$C$10="H.PROFESOR",'Input Planilla Análisis'!N75,0))))))))</f>
        <v>50952.812999999995</v>
      </c>
      <c r="D84" s="667">
        <v>1</v>
      </c>
      <c r="E84" s="668">
        <f>C84*D84</f>
        <v>50952.812999999995</v>
      </c>
      <c r="F84" s="690">
        <f t="shared" si="52"/>
        <v>0.8</v>
      </c>
      <c r="G84" s="790">
        <f>(H80/D3)*0.0625</f>
        <v>2.1597480988593154</v>
      </c>
      <c r="H84" s="668">
        <f t="shared" si="49"/>
        <v>40762.250399999997</v>
      </c>
      <c r="I84" s="673">
        <f>E84-H84</f>
        <v>10190.562599999997</v>
      </c>
      <c r="J84" s="365">
        <f>J83</f>
        <v>1</v>
      </c>
      <c r="K84" s="209">
        <f>(L80/D3)*0.0625</f>
        <v>23.764258555133079</v>
      </c>
      <c r="L84" s="209">
        <f t="shared" si="51"/>
        <v>50952.812999999995</v>
      </c>
      <c r="M84" s="270">
        <f>E84-L84</f>
        <v>0</v>
      </c>
      <c r="N84" s="748">
        <f t="shared" si="53"/>
        <v>0</v>
      </c>
      <c r="O84" s="749">
        <f t="shared" si="54"/>
        <v>1000</v>
      </c>
      <c r="P84" s="668">
        <f t="shared" si="50"/>
        <v>0</v>
      </c>
      <c r="Q84" s="711">
        <f>M84-P84</f>
        <v>0</v>
      </c>
    </row>
    <row r="85" spans="1:18" ht="12" thickBot="1" x14ac:dyDescent="0.25">
      <c r="A85" s="85"/>
      <c r="B85" s="351" t="s">
        <v>5</v>
      </c>
      <c r="C85" s="674">
        <f>SUM(C81:C84)</f>
        <v>815245.00800000003</v>
      </c>
      <c r="D85" s="675"/>
      <c r="E85" s="676">
        <f>SUM(E81:E84)</f>
        <v>815245.00800000003</v>
      </c>
      <c r="F85" s="675"/>
      <c r="G85" s="675"/>
      <c r="H85" s="778">
        <f>SUM(H81:H84)</f>
        <v>652196.00640000007</v>
      </c>
      <c r="I85" s="694">
        <f>SUM(I81:I84)</f>
        <v>163049.00159999996</v>
      </c>
      <c r="J85" s="216"/>
      <c r="K85" s="216"/>
      <c r="L85" s="429">
        <f>SUM(L81:L84)</f>
        <v>815245.00800000003</v>
      </c>
      <c r="M85" s="428">
        <f>C85-L85</f>
        <v>0</v>
      </c>
      <c r="N85" s="744"/>
      <c r="O85" s="752"/>
      <c r="P85" s="746">
        <f>SUM(P81:P84)</f>
        <v>0</v>
      </c>
      <c r="Q85" s="747">
        <f>SUM(Q81:Q84)</f>
        <v>0</v>
      </c>
    </row>
    <row r="86" spans="1:18" x14ac:dyDescent="0.2">
      <c r="A86" s="85"/>
      <c r="B86" s="351" t="s">
        <v>77</v>
      </c>
      <c r="C86" s="668"/>
      <c r="D86" s="667"/>
      <c r="E86" s="667"/>
      <c r="F86" s="667"/>
      <c r="G86" s="667"/>
      <c r="H86" s="680">
        <f>H85/C85</f>
        <v>0.8</v>
      </c>
      <c r="I86" s="681"/>
      <c r="J86" s="273"/>
      <c r="K86" s="211"/>
      <c r="L86" s="426">
        <f>L85/C85</f>
        <v>1</v>
      </c>
      <c r="M86" s="373"/>
      <c r="N86" s="760"/>
      <c r="O86" s="758"/>
      <c r="P86" s="754">
        <f>(L85+P85)/C85</f>
        <v>1</v>
      </c>
      <c r="Q86" s="759"/>
    </row>
    <row r="87" spans="1:18" x14ac:dyDescent="0.2">
      <c r="A87" s="85"/>
      <c r="B87" s="351"/>
      <c r="C87" s="209"/>
      <c r="D87" s="211"/>
      <c r="E87" s="211"/>
      <c r="F87" s="211"/>
      <c r="G87" s="211"/>
      <c r="H87" s="209"/>
      <c r="I87" s="219"/>
      <c r="J87" s="211"/>
      <c r="K87" s="211"/>
      <c r="L87" s="209"/>
      <c r="M87" s="360"/>
      <c r="N87" s="367"/>
      <c r="O87" s="368"/>
      <c r="P87" s="371"/>
      <c r="Q87" s="369"/>
    </row>
    <row r="88" spans="1:18" x14ac:dyDescent="0.2">
      <c r="A88" s="85"/>
      <c r="B88" s="351"/>
      <c r="C88" s="209"/>
      <c r="D88" s="211"/>
      <c r="E88" s="211"/>
      <c r="F88" s="211"/>
      <c r="G88" s="211"/>
      <c r="H88" s="209"/>
      <c r="I88" s="219"/>
      <c r="J88" s="211"/>
      <c r="K88" s="211"/>
      <c r="L88" s="209"/>
      <c r="M88" s="360"/>
      <c r="N88" s="367"/>
      <c r="O88" s="368"/>
      <c r="P88" s="371"/>
      <c r="Q88" s="369"/>
    </row>
    <row r="89" spans="1:18" x14ac:dyDescent="0.2">
      <c r="A89" s="85"/>
      <c r="B89" s="413" t="s">
        <v>448</v>
      </c>
      <c r="C89" s="414"/>
      <c r="D89" s="415"/>
      <c r="E89" s="438">
        <f>+E77+E85</f>
        <v>2244045.9579999996</v>
      </c>
      <c r="F89" s="415"/>
      <c r="G89" s="414"/>
      <c r="H89" s="438">
        <f>+H77+H85</f>
        <v>2080996.9563999998</v>
      </c>
      <c r="I89" s="438">
        <f>+I77+I85</f>
        <v>163049.00159999996</v>
      </c>
      <c r="J89" s="415"/>
      <c r="K89" s="806">
        <f>+L77+L85</f>
        <v>2244045.9579999996</v>
      </c>
      <c r="L89" s="806"/>
      <c r="M89" s="438">
        <f>+M77+M85</f>
        <v>0</v>
      </c>
      <c r="N89" s="416"/>
      <c r="O89" s="417"/>
      <c r="P89" s="437">
        <f>+P77+P85</f>
        <v>0</v>
      </c>
      <c r="Q89" s="436">
        <f>+Q77+Q85</f>
        <v>0</v>
      </c>
    </row>
    <row r="90" spans="1:18" x14ac:dyDescent="0.2">
      <c r="A90" s="85"/>
      <c r="B90" s="351"/>
      <c r="C90" s="209"/>
      <c r="D90" s="211"/>
      <c r="E90" s="211"/>
      <c r="F90" s="211"/>
      <c r="G90" s="211"/>
      <c r="H90" s="209"/>
      <c r="I90" s="219"/>
      <c r="J90" s="211"/>
      <c r="K90" s="211"/>
      <c r="L90" s="209"/>
      <c r="M90" s="360"/>
      <c r="N90" s="367"/>
      <c r="O90" s="368"/>
      <c r="P90" s="371"/>
      <c r="Q90" s="369"/>
    </row>
    <row r="91" spans="1:18" ht="12.75" customHeight="1" x14ac:dyDescent="0.2">
      <c r="A91" s="85"/>
      <c r="B91" s="812" t="s">
        <v>494</v>
      </c>
      <c r="C91" s="812"/>
      <c r="D91" s="812"/>
      <c r="E91" s="812"/>
      <c r="F91" s="812"/>
      <c r="G91" s="812"/>
      <c r="H91" s="812"/>
      <c r="I91" s="812"/>
      <c r="J91" s="812"/>
      <c r="K91" s="812"/>
      <c r="L91" s="812"/>
      <c r="M91" s="812"/>
      <c r="N91" s="812"/>
      <c r="O91" s="812"/>
      <c r="P91" s="812"/>
      <c r="Q91" s="812"/>
    </row>
    <row r="92" spans="1:18" ht="12.75" customHeight="1" x14ac:dyDescent="0.2">
      <c r="A92" s="85"/>
      <c r="B92" s="418"/>
      <c r="C92" s="419"/>
      <c r="D92" s="420"/>
      <c r="E92" s="445"/>
      <c r="F92" s="431"/>
      <c r="G92" s="432"/>
      <c r="H92" s="433" t="s">
        <v>58</v>
      </c>
      <c r="I92" s="430"/>
      <c r="J92" s="807" t="s">
        <v>455</v>
      </c>
      <c r="K92" s="808"/>
      <c r="L92" s="808"/>
      <c r="M92" s="809"/>
      <c r="N92" s="810" t="s">
        <v>456</v>
      </c>
      <c r="O92" s="810"/>
      <c r="P92" s="810"/>
      <c r="Q92" s="811"/>
    </row>
    <row r="93" spans="1:18" x14ac:dyDescent="0.2">
      <c r="A93" s="85"/>
      <c r="B93" s="421"/>
      <c r="C93" s="212"/>
      <c r="D93" s="83"/>
      <c r="E93" s="460" t="s">
        <v>454</v>
      </c>
      <c r="F93" s="461" t="s">
        <v>450</v>
      </c>
      <c r="G93" s="461" t="s">
        <v>451</v>
      </c>
      <c r="H93" s="462" t="s">
        <v>452</v>
      </c>
      <c r="I93" s="463" t="s">
        <v>453</v>
      </c>
      <c r="J93" s="464" t="s">
        <v>450</v>
      </c>
      <c r="K93" s="461" t="s">
        <v>451</v>
      </c>
      <c r="L93" s="462" t="s">
        <v>452</v>
      </c>
      <c r="M93" s="465" t="s">
        <v>453</v>
      </c>
      <c r="N93" s="464" t="s">
        <v>450</v>
      </c>
      <c r="O93" s="466" t="s">
        <v>68</v>
      </c>
      <c r="P93" s="462" t="s">
        <v>452</v>
      </c>
      <c r="Q93" s="467" t="s">
        <v>453</v>
      </c>
      <c r="R93" s="86"/>
    </row>
    <row r="94" spans="1:18" x14ac:dyDescent="0.2">
      <c r="A94" s="85"/>
      <c r="B94" s="403" t="s">
        <v>290</v>
      </c>
      <c r="C94" s="404"/>
      <c r="D94" s="408"/>
      <c r="E94" s="439">
        <f>E14+E23+E30</f>
        <v>1008397</v>
      </c>
      <c r="F94" s="422">
        <f>H94/E94</f>
        <v>0.73381912084228729</v>
      </c>
      <c r="G94" s="327">
        <f>H94/$D$3</f>
        <v>28.13615969581749</v>
      </c>
      <c r="H94" s="324">
        <f>H14+H23+H30</f>
        <v>739981</v>
      </c>
      <c r="I94" s="440">
        <f>1-F94</f>
        <v>0.26618087915771271</v>
      </c>
      <c r="J94" s="323">
        <f>L94/E94</f>
        <v>0.8</v>
      </c>
      <c r="K94" s="327">
        <f>L94/$D$3</f>
        <v>30.673673003802286</v>
      </c>
      <c r="L94" s="324">
        <f>L14+L23+L30</f>
        <v>806717.60000000009</v>
      </c>
      <c r="M94" s="323">
        <f>1-J94</f>
        <v>0.19999999999999996</v>
      </c>
      <c r="N94" s="325">
        <f>P94/E94</f>
        <v>0.8</v>
      </c>
      <c r="O94" s="328">
        <f>P94/$D$3</f>
        <v>30.673673003802286</v>
      </c>
      <c r="P94" s="324">
        <f>L14+P14+L23+P23+L30+P30</f>
        <v>806717.60000000009</v>
      </c>
      <c r="Q94" s="325">
        <f>1-N94</f>
        <v>0.19999999999999996</v>
      </c>
      <c r="R94" s="375"/>
    </row>
    <row r="95" spans="1:18" x14ac:dyDescent="0.2">
      <c r="A95" s="85"/>
      <c r="B95" s="406" t="s">
        <v>449</v>
      </c>
      <c r="C95" s="404"/>
      <c r="D95" s="408"/>
      <c r="E95" s="439">
        <f>E50+E63+E77+E85</f>
        <v>30585279.697999999</v>
      </c>
      <c r="F95" s="422">
        <f t="shared" ref="F95:F96" si="55">H95/E95</f>
        <v>0.7124399652890826</v>
      </c>
      <c r="G95" s="327">
        <f>H95/$D$3</f>
        <v>828.5237873155894</v>
      </c>
      <c r="H95" s="441">
        <f>H50+H63+H77+H85</f>
        <v>21790175.606400002</v>
      </c>
      <c r="I95" s="440">
        <f t="shared" ref="I95:I96" si="56">1-F95</f>
        <v>0.2875600347109174</v>
      </c>
      <c r="J95" s="323">
        <f t="shared" ref="J95:J96" si="57">L95/E95</f>
        <v>0.78438320443310416</v>
      </c>
      <c r="K95" s="327">
        <f>L95/$D$3</f>
        <v>912.18934212927763</v>
      </c>
      <c r="L95" s="441">
        <f>L50+L63+L77+L85</f>
        <v>23990579.698000003</v>
      </c>
      <c r="M95" s="323">
        <f t="shared" ref="M95:M96" si="58">1-J95</f>
        <v>0.21561679556689584</v>
      </c>
      <c r="N95" s="325">
        <f t="shared" ref="N95:N96" si="59">P95/E95</f>
        <v>0.78438320443310416</v>
      </c>
      <c r="O95" s="328">
        <f>P95/$D$3</f>
        <v>912.18934212927763</v>
      </c>
      <c r="P95" s="442">
        <f>L50+P50+L63+P63+L77+P77+L85+P85</f>
        <v>23990579.698000003</v>
      </c>
      <c r="Q95" s="325">
        <f t="shared" ref="Q95:Q96" si="60">1-N95</f>
        <v>0.21561679556689584</v>
      </c>
      <c r="R95" s="375"/>
    </row>
    <row r="96" spans="1:18" x14ac:dyDescent="0.2">
      <c r="A96" s="85"/>
      <c r="B96" s="407" t="s">
        <v>310</v>
      </c>
      <c r="C96" s="404"/>
      <c r="D96" s="408"/>
      <c r="E96" s="439">
        <f>SUM(E94:E95)</f>
        <v>31593676.697999999</v>
      </c>
      <c r="F96" s="422">
        <f t="shared" si="55"/>
        <v>0.71312233842749451</v>
      </c>
      <c r="G96" s="327">
        <f>H96/$D$3</f>
        <v>856.65994701140687</v>
      </c>
      <c r="H96" s="441">
        <f>SUM(H94:H95)</f>
        <v>22530156.606400002</v>
      </c>
      <c r="I96" s="440">
        <f t="shared" si="56"/>
        <v>0.28687766157250549</v>
      </c>
      <c r="J96" s="323">
        <f t="shared" si="57"/>
        <v>0.7848816563844172</v>
      </c>
      <c r="K96" s="327">
        <f>L96/$D$3</f>
        <v>942.86301513308001</v>
      </c>
      <c r="L96" s="441">
        <f>SUM(L94:L95)</f>
        <v>24797297.298000004</v>
      </c>
      <c r="M96" s="323">
        <f t="shared" si="58"/>
        <v>0.2151183436155828</v>
      </c>
      <c r="N96" s="325">
        <f t="shared" si="59"/>
        <v>0.7848816563844172</v>
      </c>
      <c r="O96" s="328">
        <f>P96/$D$3</f>
        <v>942.86301513308001</v>
      </c>
      <c r="P96" s="442">
        <f>SUM(P94:P95)</f>
        <v>24797297.298000004</v>
      </c>
      <c r="Q96" s="325">
        <f t="shared" si="60"/>
        <v>0.2151183436155828</v>
      </c>
      <c r="R96" s="375"/>
    </row>
    <row r="97" spans="1:18" x14ac:dyDescent="0.2">
      <c r="A97" s="85"/>
      <c r="C97" s="213"/>
      <c r="D97" s="85"/>
      <c r="E97" s="85"/>
      <c r="F97" s="85"/>
      <c r="G97" s="85"/>
      <c r="H97" s="377"/>
      <c r="I97" s="378"/>
      <c r="J97" s="85"/>
      <c r="K97" s="85"/>
      <c r="L97" s="377"/>
      <c r="M97" s="85"/>
      <c r="N97" s="374"/>
      <c r="O97" s="354"/>
      <c r="P97" s="379"/>
      <c r="Q97" s="354"/>
    </row>
    <row r="98" spans="1:18" x14ac:dyDescent="0.2">
      <c r="A98" s="85"/>
      <c r="C98" s="213"/>
      <c r="D98" s="85"/>
      <c r="E98" s="85"/>
      <c r="F98" s="85"/>
      <c r="G98" s="85"/>
      <c r="H98" s="377"/>
      <c r="I98" s="378"/>
      <c r="J98" s="85"/>
      <c r="K98" s="85"/>
      <c r="L98" s="377"/>
      <c r="M98" s="85"/>
      <c r="N98" s="374"/>
      <c r="O98" s="354"/>
      <c r="P98" s="379"/>
      <c r="Q98" s="354"/>
    </row>
    <row r="99" spans="1:18" x14ac:dyDescent="0.2">
      <c r="A99" s="85"/>
      <c r="C99" s="213"/>
      <c r="D99" s="85"/>
      <c r="E99" s="85"/>
      <c r="F99" s="85"/>
      <c r="G99" s="85"/>
      <c r="H99" s="377"/>
      <c r="I99" s="378"/>
      <c r="J99" s="85"/>
      <c r="K99" s="85"/>
      <c r="L99" s="377"/>
      <c r="M99" s="85"/>
      <c r="N99" s="374"/>
      <c r="O99" s="354"/>
      <c r="P99" s="379"/>
      <c r="Q99" s="354"/>
    </row>
    <row r="100" spans="1:18" x14ac:dyDescent="0.2">
      <c r="A100" s="85"/>
      <c r="B100" s="329"/>
      <c r="C100" s="728"/>
      <c r="D100" s="728"/>
      <c r="E100" s="728"/>
      <c r="F100" s="728"/>
      <c r="G100" s="728"/>
      <c r="H100" s="729"/>
      <c r="I100" s="730"/>
      <c r="J100" s="85"/>
      <c r="K100" s="85"/>
      <c r="L100" s="380"/>
      <c r="M100" s="85"/>
      <c r="N100" s="767"/>
      <c r="O100" s="749"/>
      <c r="P100" s="766"/>
      <c r="Q100" s="749"/>
    </row>
    <row r="101" spans="1:18" x14ac:dyDescent="0.2">
      <c r="A101" s="376" t="s">
        <v>78</v>
      </c>
      <c r="B101" s="381" t="s">
        <v>491</v>
      </c>
      <c r="C101" s="731" t="s">
        <v>492</v>
      </c>
      <c r="D101" s="699"/>
      <c r="E101" s="732" t="s">
        <v>310</v>
      </c>
      <c r="F101" s="733" t="s">
        <v>49</v>
      </c>
      <c r="G101" s="732" t="s">
        <v>48</v>
      </c>
      <c r="H101" s="733" t="s">
        <v>502</v>
      </c>
      <c r="I101" s="732" t="s">
        <v>46</v>
      </c>
      <c r="J101" s="180" t="s">
        <v>49</v>
      </c>
      <c r="K101" s="180" t="s">
        <v>48</v>
      </c>
      <c r="L101" s="180" t="s">
        <v>45</v>
      </c>
      <c r="M101" s="180" t="s">
        <v>46</v>
      </c>
      <c r="N101" s="732" t="s">
        <v>49</v>
      </c>
      <c r="O101" s="732" t="s">
        <v>503</v>
      </c>
      <c r="P101" s="732" t="s">
        <v>45</v>
      </c>
      <c r="Q101" s="732" t="s">
        <v>46</v>
      </c>
      <c r="R101" s="335"/>
    </row>
    <row r="102" spans="1:18" x14ac:dyDescent="0.2">
      <c r="B102" s="384" t="s">
        <v>80</v>
      </c>
      <c r="C102" s="705">
        <v>25000</v>
      </c>
      <c r="D102" s="706">
        <v>3</v>
      </c>
      <c r="E102" s="703">
        <f t="shared" ref="E102:E107" si="61">D102*C102</f>
        <v>75000</v>
      </c>
      <c r="F102" s="707">
        <v>0.6</v>
      </c>
      <c r="G102" s="700">
        <v>500</v>
      </c>
      <c r="H102" s="703">
        <f>MIN($C102*F102,G102*$D$3)*$D102</f>
        <v>45000</v>
      </c>
      <c r="I102" s="711">
        <f t="shared" ref="I102:I107" si="62">E102-H102</f>
        <v>30000</v>
      </c>
      <c r="K102" s="272" t="s">
        <v>422</v>
      </c>
      <c r="L102" s="54"/>
      <c r="M102" s="383"/>
      <c r="N102" s="707">
        <v>0</v>
      </c>
      <c r="O102" s="700" t="s">
        <v>421</v>
      </c>
      <c r="P102" s="727"/>
      <c r="Q102" s="768">
        <v>0</v>
      </c>
    </row>
    <row r="103" spans="1:18" x14ac:dyDescent="0.2">
      <c r="B103" s="384" t="s">
        <v>81</v>
      </c>
      <c r="C103" s="710">
        <v>750000</v>
      </c>
      <c r="D103" s="706">
        <v>0</v>
      </c>
      <c r="E103" s="703">
        <f t="shared" si="61"/>
        <v>0</v>
      </c>
      <c r="F103" s="707">
        <f>F102</f>
        <v>0.6</v>
      </c>
      <c r="G103" s="706">
        <v>500</v>
      </c>
      <c r="H103" s="703">
        <f t="shared" ref="H103:H107" si="63">MIN($C103*F103,G103*$D$3)*$D103</f>
        <v>0</v>
      </c>
      <c r="I103" s="711">
        <f t="shared" si="62"/>
        <v>0</v>
      </c>
      <c r="K103" s="272" t="s">
        <v>422</v>
      </c>
      <c r="L103" s="54"/>
      <c r="M103" s="383"/>
      <c r="N103" s="707">
        <v>0</v>
      </c>
      <c r="O103" s="700" t="s">
        <v>421</v>
      </c>
      <c r="P103" s="727"/>
      <c r="Q103" s="768">
        <v>0</v>
      </c>
    </row>
    <row r="104" spans="1:18" x14ac:dyDescent="0.2">
      <c r="B104" s="384" t="s">
        <v>82</v>
      </c>
      <c r="C104" s="710">
        <v>550000</v>
      </c>
      <c r="D104" s="706">
        <v>1</v>
      </c>
      <c r="E104" s="703">
        <f t="shared" si="61"/>
        <v>550000</v>
      </c>
      <c r="F104" s="707">
        <f>F103</f>
        <v>0.6</v>
      </c>
      <c r="G104" s="706">
        <v>500</v>
      </c>
      <c r="H104" s="703">
        <f t="shared" si="63"/>
        <v>330000</v>
      </c>
      <c r="I104" s="711">
        <f t="shared" si="62"/>
        <v>220000</v>
      </c>
      <c r="K104" s="272" t="s">
        <v>422</v>
      </c>
      <c r="L104" s="54"/>
      <c r="M104" s="383"/>
      <c r="N104" s="707">
        <v>0</v>
      </c>
      <c r="O104" s="700" t="s">
        <v>421</v>
      </c>
      <c r="P104" s="727"/>
      <c r="Q104" s="768">
        <v>0</v>
      </c>
    </row>
    <row r="105" spans="1:18" x14ac:dyDescent="0.2">
      <c r="B105" s="384" t="s">
        <v>83</v>
      </c>
      <c r="C105" s="710">
        <v>80000</v>
      </c>
      <c r="D105" s="706">
        <v>1</v>
      </c>
      <c r="E105" s="703">
        <f t="shared" si="61"/>
        <v>80000</v>
      </c>
      <c r="F105" s="707">
        <f>F104</f>
        <v>0.6</v>
      </c>
      <c r="G105" s="706">
        <v>500</v>
      </c>
      <c r="H105" s="703">
        <f t="shared" si="63"/>
        <v>48000</v>
      </c>
      <c r="I105" s="711">
        <f t="shared" si="62"/>
        <v>32000</v>
      </c>
      <c r="K105" s="272" t="s">
        <v>422</v>
      </c>
      <c r="L105" s="54"/>
      <c r="M105" s="383"/>
      <c r="N105" s="707">
        <v>0</v>
      </c>
      <c r="O105" s="700" t="s">
        <v>421</v>
      </c>
      <c r="P105" s="727"/>
      <c r="Q105" s="768">
        <v>0</v>
      </c>
    </row>
    <row r="106" spans="1:18" x14ac:dyDescent="0.2">
      <c r="B106" s="459" t="s">
        <v>84</v>
      </c>
      <c r="C106" s="710">
        <v>50000</v>
      </c>
      <c r="D106" s="706">
        <v>4</v>
      </c>
      <c r="E106" s="703">
        <f t="shared" si="61"/>
        <v>200000</v>
      </c>
      <c r="F106" s="707">
        <f>F105</f>
        <v>0.6</v>
      </c>
      <c r="G106" s="706">
        <v>500</v>
      </c>
      <c r="H106" s="703">
        <f t="shared" si="63"/>
        <v>120000</v>
      </c>
      <c r="I106" s="711">
        <f t="shared" si="62"/>
        <v>80000</v>
      </c>
      <c r="K106" s="272" t="s">
        <v>422</v>
      </c>
      <c r="L106" s="54"/>
      <c r="M106" s="383"/>
      <c r="N106" s="707">
        <v>0</v>
      </c>
      <c r="O106" s="700" t="s">
        <v>421</v>
      </c>
      <c r="P106" s="727"/>
      <c r="Q106" s="768">
        <v>0</v>
      </c>
    </row>
    <row r="107" spans="1:18" x14ac:dyDescent="0.2">
      <c r="B107" s="459" t="s">
        <v>85</v>
      </c>
      <c r="C107" s="710">
        <v>120000</v>
      </c>
      <c r="D107" s="706">
        <v>1</v>
      </c>
      <c r="E107" s="703">
        <f t="shared" si="61"/>
        <v>120000</v>
      </c>
      <c r="F107" s="707">
        <f>F106</f>
        <v>0.6</v>
      </c>
      <c r="G107" s="706">
        <v>500</v>
      </c>
      <c r="H107" s="703">
        <f t="shared" si="63"/>
        <v>72000</v>
      </c>
      <c r="I107" s="711">
        <f t="shared" si="62"/>
        <v>48000</v>
      </c>
      <c r="K107" s="272" t="s">
        <v>422</v>
      </c>
      <c r="L107" s="54"/>
      <c r="M107" s="383"/>
      <c r="N107" s="707">
        <v>0</v>
      </c>
      <c r="O107" s="700" t="s">
        <v>421</v>
      </c>
      <c r="P107" s="727"/>
      <c r="Q107" s="768">
        <v>0</v>
      </c>
    </row>
    <row r="108" spans="1:18" ht="12" thickBot="1" x14ac:dyDescent="0.25">
      <c r="B108" s="351" t="s">
        <v>5</v>
      </c>
      <c r="C108" s="734"/>
      <c r="D108" s="722"/>
      <c r="E108" s="717">
        <f>SUM(E102:E107)</f>
        <v>1025000</v>
      </c>
      <c r="F108" s="735"/>
      <c r="G108" s="717">
        <v>800000</v>
      </c>
      <c r="H108" s="717">
        <f>SUM(H102:H107)</f>
        <v>615000</v>
      </c>
      <c r="I108" s="736">
        <f>SUM(I102:I107)</f>
        <v>410000</v>
      </c>
      <c r="J108" s="32"/>
      <c r="K108" s="32"/>
      <c r="L108" s="33"/>
      <c r="M108" s="444"/>
      <c r="N108" s="724"/>
      <c r="O108" s="769"/>
      <c r="P108" s="724"/>
      <c r="Q108" s="770"/>
    </row>
    <row r="109" spans="1:18" x14ac:dyDescent="0.2">
      <c r="B109" s="351"/>
      <c r="C109" s="54"/>
      <c r="D109" s="54"/>
      <c r="E109" s="386"/>
      <c r="F109" s="382"/>
      <c r="G109" s="326"/>
      <c r="H109" s="386"/>
      <c r="I109" s="386"/>
      <c r="J109" s="54"/>
      <c r="K109" s="54"/>
      <c r="L109" s="54"/>
      <c r="M109" s="54"/>
      <c r="N109" s="334"/>
      <c r="O109" s="335"/>
      <c r="P109" s="334"/>
      <c r="Q109" s="335"/>
    </row>
    <row r="110" spans="1:18" ht="12" thickBot="1" x14ac:dyDescent="0.25">
      <c r="B110" s="351"/>
      <c r="C110" s="54"/>
      <c r="D110" s="54"/>
      <c r="E110" s="386"/>
      <c r="F110" s="382"/>
      <c r="G110" s="326"/>
      <c r="H110" s="386"/>
      <c r="I110" s="386"/>
      <c r="J110" s="54"/>
      <c r="K110" s="54"/>
      <c r="L110" s="54"/>
      <c r="M110" s="54"/>
      <c r="N110" s="334"/>
      <c r="O110" s="335"/>
      <c r="P110" s="334"/>
      <c r="Q110" s="335"/>
    </row>
    <row r="111" spans="1:18" ht="12.75" customHeight="1" thickBot="1" x14ac:dyDescent="0.25">
      <c r="B111" s="351"/>
      <c r="C111" s="801" t="s">
        <v>445</v>
      </c>
      <c r="D111" s="802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4"/>
    </row>
    <row r="112" spans="1:18" x14ac:dyDescent="0.2">
      <c r="E112" s="180" t="s">
        <v>310</v>
      </c>
      <c r="F112" s="584" t="s">
        <v>49</v>
      </c>
      <c r="G112" s="180" t="s">
        <v>48</v>
      </c>
      <c r="H112" s="584" t="s">
        <v>502</v>
      </c>
      <c r="I112" s="180" t="s">
        <v>46</v>
      </c>
      <c r="J112" s="180" t="s">
        <v>49</v>
      </c>
      <c r="K112" s="180" t="s">
        <v>48</v>
      </c>
      <c r="L112" s="180" t="s">
        <v>45</v>
      </c>
      <c r="M112" s="180" t="s">
        <v>46</v>
      </c>
      <c r="N112" s="180" t="s">
        <v>49</v>
      </c>
      <c r="O112" s="180" t="s">
        <v>503</v>
      </c>
      <c r="P112" s="180" t="s">
        <v>45</v>
      </c>
      <c r="Q112" s="180" t="s">
        <v>46</v>
      </c>
      <c r="R112" s="335"/>
    </row>
    <row r="113" spans="1:17" x14ac:dyDescent="0.2">
      <c r="B113" s="361">
        <f>C114-C115-C116</f>
        <v>980758</v>
      </c>
      <c r="C113" s="699"/>
      <c r="D113" s="699"/>
      <c r="E113" s="699"/>
      <c r="F113" s="700" t="s">
        <v>440</v>
      </c>
      <c r="G113" s="699"/>
      <c r="H113" s="699"/>
      <c r="I113" s="699"/>
      <c r="N113" s="727"/>
      <c r="O113" s="739"/>
      <c r="P113" s="727"/>
      <c r="Q113" s="739"/>
    </row>
    <row r="114" spans="1:17" ht="12" thickBot="1" x14ac:dyDescent="0.25">
      <c r="A114" s="376" t="s">
        <v>149</v>
      </c>
      <c r="B114" s="387" t="s">
        <v>109</v>
      </c>
      <c r="C114" s="701">
        <f>IF($C$10="ALEMANA",'Input Planilla Análisis'!G80,IF('Planilla Análisis ( isapre)'!$C$10="LAS CONDES",'Input Planilla Análisis'!H80,IF('Planilla Análisis ( isapre)'!$C$10="SANTA MARIA",'Input Planilla Análisis'!I80,IF('Planilla Análisis ( isapre)'!$C$10="SAN CARLOS",'Input Planilla Análisis'!J80,IF('Planilla Análisis ( isapre)'!$C$10="U.CHILE",'Input Planilla Análisis'!K80,IF('Planilla Análisis ( isapre)'!$C$10="INDISA",'Input Planilla Análisis'!L80,IF('Planilla Análisis ( isapre)'!$C$10="DAVILA",'Input Planilla Análisis'!M80,IF('Planilla Análisis ( isapre)'!$C$10="H.PROFESOR",'Input Planilla Análisis'!N80,0))))))))</f>
        <v>2393000</v>
      </c>
      <c r="D114" s="702">
        <v>0.3</v>
      </c>
      <c r="E114" s="703" t="s">
        <v>423</v>
      </c>
      <c r="F114" s="704">
        <v>0.25</v>
      </c>
      <c r="G114" s="699"/>
      <c r="H114" s="699"/>
      <c r="I114" s="699"/>
      <c r="N114" s="727"/>
      <c r="O114" s="739"/>
      <c r="P114" s="727"/>
      <c r="Q114" s="739"/>
    </row>
    <row r="115" spans="1:17" x14ac:dyDescent="0.2">
      <c r="B115" s="389" t="s">
        <v>150</v>
      </c>
      <c r="C115" s="705">
        <v>1000000</v>
      </c>
      <c r="D115" s="706">
        <v>1</v>
      </c>
      <c r="E115" s="703">
        <f>C115*D115</f>
        <v>1000000</v>
      </c>
      <c r="F115" s="707">
        <f>Datos!E3</f>
        <v>0.25</v>
      </c>
      <c r="G115" s="708">
        <v>500</v>
      </c>
      <c r="H115" s="703">
        <f>MIN($C115*F115,G115*$D$3)*$D115</f>
        <v>250000</v>
      </c>
      <c r="I115" s="709">
        <f>E115-H115</f>
        <v>750000</v>
      </c>
      <c r="J115" s="382">
        <v>0.27</v>
      </c>
      <c r="K115" s="390">
        <v>500</v>
      </c>
      <c r="L115" s="454">
        <f>MIN($C115*J115,K115*$D$3)*$D115</f>
        <v>270000</v>
      </c>
      <c r="M115" s="347">
        <f>E115-L115</f>
        <v>730000</v>
      </c>
      <c r="N115" s="707">
        <f>P4</f>
        <v>0</v>
      </c>
      <c r="O115" s="700" t="s">
        <v>420</v>
      </c>
      <c r="P115" s="771"/>
      <c r="Q115" s="772"/>
    </row>
    <row r="116" spans="1:17" x14ac:dyDescent="0.2">
      <c r="B116" s="389" t="s">
        <v>157</v>
      </c>
      <c r="C116" s="710">
        <f>Prestaciones!D8</f>
        <v>412242</v>
      </c>
      <c r="D116" s="706">
        <v>1</v>
      </c>
      <c r="E116" s="703">
        <f>C116*D116</f>
        <v>412242</v>
      </c>
      <c r="F116" s="707">
        <f>F115</f>
        <v>0.25</v>
      </c>
      <c r="G116" s="708">
        <v>500</v>
      </c>
      <c r="H116" s="703">
        <f t="shared" ref="H116:H118" si="64">MIN($C116*F116,G116*$D$3)*$D116</f>
        <v>103060.5</v>
      </c>
      <c r="I116" s="711">
        <f>E116-H116</f>
        <v>309181.5</v>
      </c>
      <c r="J116" s="382">
        <f>J115</f>
        <v>0.27</v>
      </c>
      <c r="K116" s="390">
        <v>500</v>
      </c>
      <c r="L116" s="454">
        <f>MIN($C116*J116,K116*$D$3)*$D116</f>
        <v>111305.34000000001</v>
      </c>
      <c r="M116" s="349">
        <f>E116-L116</f>
        <v>300936.65999999997</v>
      </c>
      <c r="N116" s="773">
        <v>0</v>
      </c>
      <c r="O116" s="700"/>
      <c r="P116" s="771"/>
      <c r="Q116" s="768"/>
    </row>
    <row r="117" spans="1:17" x14ac:dyDescent="0.2">
      <c r="A117" s="391">
        <v>0.6</v>
      </c>
      <c r="B117" s="384" t="s">
        <v>151</v>
      </c>
      <c r="C117" s="710">
        <f>B113*0.6</f>
        <v>588454.79999999993</v>
      </c>
      <c r="D117" s="706">
        <v>1</v>
      </c>
      <c r="E117" s="703">
        <f>C117*D117</f>
        <v>588454.79999999993</v>
      </c>
      <c r="F117" s="707">
        <f>F116</f>
        <v>0.25</v>
      </c>
      <c r="G117" s="708">
        <v>500</v>
      </c>
      <c r="H117" s="703">
        <f t="shared" si="64"/>
        <v>147113.69999999998</v>
      </c>
      <c r="I117" s="711">
        <f>E117-H117</f>
        <v>441341.1</v>
      </c>
      <c r="J117" s="382">
        <f>J116</f>
        <v>0.27</v>
      </c>
      <c r="K117" s="390">
        <v>500</v>
      </c>
      <c r="L117" s="454">
        <f t="shared" ref="L117:L118" si="65">MIN($C117*J117,K117*$D$3)*$D117</f>
        <v>158882.796</v>
      </c>
      <c r="M117" s="349">
        <f>E117-L117</f>
        <v>429572.00399999996</v>
      </c>
      <c r="N117" s="773">
        <v>0</v>
      </c>
      <c r="O117" s="739"/>
      <c r="P117" s="771"/>
      <c r="Q117" s="768"/>
    </row>
    <row r="118" spans="1:17" x14ac:dyDescent="0.2">
      <c r="A118" s="391">
        <v>0.4</v>
      </c>
      <c r="B118" s="384" t="s">
        <v>152</v>
      </c>
      <c r="C118" s="710">
        <f>B113*0.4</f>
        <v>392303.2</v>
      </c>
      <c r="D118" s="706">
        <v>1</v>
      </c>
      <c r="E118" s="703">
        <f>C118*D118</f>
        <v>392303.2</v>
      </c>
      <c r="F118" s="707">
        <f>F117</f>
        <v>0.25</v>
      </c>
      <c r="G118" s="708">
        <v>500</v>
      </c>
      <c r="H118" s="703">
        <f t="shared" si="64"/>
        <v>98075.8</v>
      </c>
      <c r="I118" s="711">
        <f>E118-H118</f>
        <v>294227.40000000002</v>
      </c>
      <c r="J118" s="382">
        <f>J117</f>
        <v>0.27</v>
      </c>
      <c r="K118" s="390">
        <v>500</v>
      </c>
      <c r="L118" s="454">
        <f t="shared" si="65"/>
        <v>105921.86400000002</v>
      </c>
      <c r="M118" s="349">
        <f>E118-L118</f>
        <v>286381.33600000001</v>
      </c>
      <c r="N118" s="773">
        <v>0</v>
      </c>
      <c r="O118" s="700"/>
      <c r="P118" s="771"/>
      <c r="Q118" s="768"/>
    </row>
    <row r="119" spans="1:17" x14ac:dyDescent="0.2">
      <c r="B119" s="384" t="s">
        <v>153</v>
      </c>
      <c r="C119" s="712"/>
      <c r="D119" s="706"/>
      <c r="E119" s="703"/>
      <c r="F119" s="707"/>
      <c r="G119" s="713"/>
      <c r="H119" s="713"/>
      <c r="I119" s="714"/>
      <c r="J119" s="385"/>
      <c r="K119" s="385"/>
      <c r="L119" s="454"/>
      <c r="M119" s="392"/>
      <c r="N119" s="773">
        <v>0</v>
      </c>
      <c r="O119" s="700"/>
      <c r="P119" s="771"/>
      <c r="Q119" s="768"/>
    </row>
    <row r="120" spans="1:17" ht="12" thickBot="1" x14ac:dyDescent="0.25">
      <c r="B120" s="384" t="s">
        <v>154</v>
      </c>
      <c r="C120" s="712"/>
      <c r="D120" s="706"/>
      <c r="E120" s="703"/>
      <c r="F120" s="707"/>
      <c r="G120" s="713"/>
      <c r="H120" s="713"/>
      <c r="I120" s="714"/>
      <c r="J120" s="385"/>
      <c r="K120" s="385"/>
      <c r="L120" s="454"/>
      <c r="M120" s="392"/>
      <c r="N120" s="773">
        <v>0</v>
      </c>
      <c r="O120" s="700"/>
      <c r="P120" s="771"/>
      <c r="Q120" s="768"/>
    </row>
    <row r="121" spans="1:17" ht="12" thickBot="1" x14ac:dyDescent="0.25">
      <c r="B121" s="351" t="s">
        <v>5</v>
      </c>
      <c r="C121" s="715">
        <f>C114</f>
        <v>2393000</v>
      </c>
      <c r="D121" s="716"/>
      <c r="E121" s="717">
        <f>SUM(E115:E120)</f>
        <v>2393000</v>
      </c>
      <c r="F121" s="718"/>
      <c r="G121" s="716"/>
      <c r="H121" s="717">
        <f>SUM(H115:H120)</f>
        <v>598250</v>
      </c>
      <c r="I121" s="719">
        <f>SUM(I115:I120)</f>
        <v>1794750</v>
      </c>
      <c r="J121" s="393"/>
      <c r="K121" s="393"/>
      <c r="L121" s="455">
        <f>SUM(L115:L120)</f>
        <v>646110.00000000012</v>
      </c>
      <c r="M121" s="457">
        <f>SUM(M115:M120)</f>
        <v>1746890</v>
      </c>
      <c r="N121" s="774">
        <v>0</v>
      </c>
      <c r="O121" s="755">
        <v>20</v>
      </c>
      <c r="P121" s="717" t="e">
        <f>O121*#REF!</f>
        <v>#REF!</v>
      </c>
      <c r="Q121" s="775" t="e">
        <f>M121-P121</f>
        <v>#REF!</v>
      </c>
    </row>
    <row r="122" spans="1:17" x14ac:dyDescent="0.2">
      <c r="B122" s="351" t="s">
        <v>77</v>
      </c>
      <c r="C122" s="713"/>
      <c r="D122" s="713"/>
      <c r="E122" s="703"/>
      <c r="F122" s="707"/>
      <c r="G122" s="713"/>
      <c r="H122" s="720">
        <f>H121/C121</f>
        <v>0.25</v>
      </c>
      <c r="I122" s="713"/>
      <c r="J122" s="385"/>
      <c r="K122" s="385"/>
      <c r="L122" s="458">
        <f>L121/C121</f>
        <v>0.27000000000000007</v>
      </c>
      <c r="M122" s="385"/>
      <c r="N122" s="773"/>
      <c r="O122" s="700"/>
      <c r="P122" s="771"/>
      <c r="Q122" s="700"/>
    </row>
    <row r="123" spans="1:17" x14ac:dyDescent="0.2">
      <c r="B123" s="361">
        <f>C124-E125-E126</f>
        <v>879274</v>
      </c>
      <c r="C123" s="713"/>
      <c r="D123" s="713"/>
      <c r="E123" s="703"/>
      <c r="F123" s="707" t="s">
        <v>440</v>
      </c>
      <c r="G123" s="713"/>
      <c r="H123" s="713"/>
      <c r="I123" s="713"/>
      <c r="J123" s="385"/>
      <c r="K123" s="385"/>
      <c r="L123" s="385"/>
      <c r="M123" s="385"/>
      <c r="N123" s="773"/>
      <c r="O123" s="700"/>
      <c r="P123" s="771"/>
      <c r="Q123" s="700"/>
    </row>
    <row r="124" spans="1:17" ht="12" thickBot="1" x14ac:dyDescent="0.25">
      <c r="A124" s="376" t="s">
        <v>155</v>
      </c>
      <c r="B124" s="394" t="s">
        <v>156</v>
      </c>
      <c r="C124" s="701">
        <f>IF($C$10="ALEMANA",'Input Planilla Análisis'!G81,IF('Planilla Análisis ( isapre)'!$C$10="LAS CONDES",'Input Planilla Análisis'!H81,IF('Planilla Análisis ( isapre)'!$C$10="SANTA MARIA",'Input Planilla Análisis'!I81,IF('Planilla Análisis ( isapre)'!$C$10="SAN CARLOS",'Input Planilla Análisis'!J81,IF('Planilla Análisis ( isapre)'!$C$10="U.CHILE",'Input Planilla Análisis'!K81,IF('Planilla Análisis ( isapre)'!$C$10="INDISA",'Input Planilla Análisis'!L81,IF('Planilla Análisis ( isapre)'!$C$10="DAVILA",'Input Planilla Análisis'!M81,IF('Planilla Análisis ( isapre)'!$C$10="H.PROFESOR",'Input Planilla Análisis'!N81,0))))))))</f>
        <v>3116000</v>
      </c>
      <c r="D124" s="702">
        <v>0.7</v>
      </c>
      <c r="E124" s="703" t="s">
        <v>423</v>
      </c>
      <c r="F124" s="704">
        <v>0.25</v>
      </c>
      <c r="G124" s="713"/>
      <c r="H124" s="713"/>
      <c r="I124" s="713"/>
      <c r="J124" s="385"/>
      <c r="K124" s="385"/>
      <c r="L124" s="385"/>
      <c r="M124" s="385"/>
      <c r="N124" s="773"/>
      <c r="O124" s="700"/>
      <c r="P124" s="771"/>
      <c r="Q124" s="700"/>
    </row>
    <row r="125" spans="1:17" x14ac:dyDescent="0.2">
      <c r="B125" s="389" t="s">
        <v>150</v>
      </c>
      <c r="C125" s="705">
        <v>1000000</v>
      </c>
      <c r="D125" s="706">
        <v>1</v>
      </c>
      <c r="E125" s="703">
        <f>C125*D125</f>
        <v>1000000</v>
      </c>
      <c r="F125" s="707">
        <v>0.25</v>
      </c>
      <c r="G125" s="708">
        <v>500</v>
      </c>
      <c r="H125" s="703">
        <f>MIN($C125*F125,G125*$D$3)*$D125</f>
        <v>250000</v>
      </c>
      <c r="I125" s="709">
        <f>E125-H125</f>
        <v>750000</v>
      </c>
      <c r="J125" s="382">
        <v>0.27</v>
      </c>
      <c r="K125" s="390">
        <v>500</v>
      </c>
      <c r="L125" s="454">
        <f>MIN($C125*J125,K125*$D$3)*$D125</f>
        <v>270000</v>
      </c>
      <c r="M125" s="347">
        <f>E125-L125</f>
        <v>730000</v>
      </c>
      <c r="N125" s="773">
        <v>0</v>
      </c>
      <c r="O125" s="700" t="s">
        <v>420</v>
      </c>
      <c r="P125" s="771"/>
      <c r="Q125" s="772"/>
    </row>
    <row r="126" spans="1:17" x14ac:dyDescent="0.2">
      <c r="B126" s="389" t="s">
        <v>157</v>
      </c>
      <c r="C126" s="710">
        <f>C116</f>
        <v>412242</v>
      </c>
      <c r="D126" s="706">
        <v>3</v>
      </c>
      <c r="E126" s="703">
        <f>C126*D126</f>
        <v>1236726</v>
      </c>
      <c r="F126" s="707">
        <f>F125</f>
        <v>0.25</v>
      </c>
      <c r="G126" s="708">
        <v>500</v>
      </c>
      <c r="H126" s="703">
        <f t="shared" ref="H126:H128" si="66">MIN($C126*F126,G126*$D$3)*$D126</f>
        <v>309181.5</v>
      </c>
      <c r="I126" s="711">
        <f>E126-H126</f>
        <v>927544.5</v>
      </c>
      <c r="J126" s="382">
        <f>J125</f>
        <v>0.27</v>
      </c>
      <c r="K126" s="390">
        <v>500</v>
      </c>
      <c r="L126" s="454">
        <f>MIN($C126*J126,K126*$D$3)*$D126</f>
        <v>333916.02</v>
      </c>
      <c r="M126" s="349">
        <f>E126-L126</f>
        <v>902809.98</v>
      </c>
      <c r="N126" s="773">
        <v>0</v>
      </c>
      <c r="O126" s="700"/>
      <c r="P126" s="771"/>
      <c r="Q126" s="768"/>
    </row>
    <row r="127" spans="1:17" x14ac:dyDescent="0.2">
      <c r="A127" s="391">
        <v>0.65</v>
      </c>
      <c r="B127" s="384" t="s">
        <v>151</v>
      </c>
      <c r="C127" s="710">
        <f>B123*0.65</f>
        <v>571528.1</v>
      </c>
      <c r="D127" s="706">
        <v>1</v>
      </c>
      <c r="E127" s="703">
        <f>C127*D127</f>
        <v>571528.1</v>
      </c>
      <c r="F127" s="707">
        <f>F126</f>
        <v>0.25</v>
      </c>
      <c r="G127" s="708">
        <v>500</v>
      </c>
      <c r="H127" s="703">
        <f t="shared" si="66"/>
        <v>142882.02499999999</v>
      </c>
      <c r="I127" s="711">
        <f>E127-H127</f>
        <v>428646.07499999995</v>
      </c>
      <c r="J127" s="382">
        <f>J126</f>
        <v>0.27</v>
      </c>
      <c r="K127" s="390">
        <v>500</v>
      </c>
      <c r="L127" s="454">
        <f t="shared" ref="L127:L128" si="67">MIN($C127*J127,K127*$D$3)*$D127</f>
        <v>154312.587</v>
      </c>
      <c r="M127" s="349">
        <f>E127-L127</f>
        <v>417215.51299999998</v>
      </c>
      <c r="N127" s="773">
        <v>0</v>
      </c>
      <c r="O127" s="700"/>
      <c r="P127" s="771"/>
      <c r="Q127" s="768"/>
    </row>
    <row r="128" spans="1:17" x14ac:dyDescent="0.2">
      <c r="A128" s="391">
        <v>0.35</v>
      </c>
      <c r="B128" s="384" t="s">
        <v>152</v>
      </c>
      <c r="C128" s="710">
        <f>B123*0.35</f>
        <v>307745.89999999997</v>
      </c>
      <c r="D128" s="706">
        <v>1</v>
      </c>
      <c r="E128" s="703">
        <f>C128*D128</f>
        <v>307745.89999999997</v>
      </c>
      <c r="F128" s="707">
        <f>F127</f>
        <v>0.25</v>
      </c>
      <c r="G128" s="708">
        <v>500</v>
      </c>
      <c r="H128" s="703">
        <f t="shared" si="66"/>
        <v>76936.474999999991</v>
      </c>
      <c r="I128" s="711">
        <f>E128-H128</f>
        <v>230809.42499999999</v>
      </c>
      <c r="J128" s="382">
        <f>J127</f>
        <v>0.27</v>
      </c>
      <c r="K128" s="390">
        <v>500</v>
      </c>
      <c r="L128" s="454">
        <f t="shared" si="67"/>
        <v>83091.392999999996</v>
      </c>
      <c r="M128" s="349">
        <f>E128-L128</f>
        <v>224654.50699999998</v>
      </c>
      <c r="N128" s="773">
        <v>0</v>
      </c>
      <c r="O128" s="700"/>
      <c r="P128" s="771"/>
      <c r="Q128" s="768"/>
    </row>
    <row r="129" spans="2:17" x14ac:dyDescent="0.2">
      <c r="B129" s="384" t="s">
        <v>153</v>
      </c>
      <c r="C129" s="712"/>
      <c r="D129" s="706"/>
      <c r="E129" s="703"/>
      <c r="F129" s="707"/>
      <c r="G129" s="713"/>
      <c r="H129" s="713"/>
      <c r="I129" s="714"/>
      <c r="J129" s="385"/>
      <c r="K129" s="385"/>
      <c r="L129" s="456"/>
      <c r="M129" s="392"/>
      <c r="N129" s="773">
        <v>0</v>
      </c>
      <c r="O129" s="700"/>
      <c r="P129" s="771"/>
      <c r="Q129" s="768"/>
    </row>
    <row r="130" spans="2:17" ht="12" thickBot="1" x14ac:dyDescent="0.25">
      <c r="B130" s="384" t="s">
        <v>154</v>
      </c>
      <c r="C130" s="712"/>
      <c r="D130" s="706"/>
      <c r="E130" s="703"/>
      <c r="F130" s="707"/>
      <c r="G130" s="713"/>
      <c r="H130" s="713"/>
      <c r="I130" s="714"/>
      <c r="J130" s="385"/>
      <c r="K130" s="385"/>
      <c r="L130" s="456"/>
      <c r="M130" s="392"/>
      <c r="N130" s="773">
        <v>0</v>
      </c>
      <c r="O130" s="700"/>
      <c r="P130" s="771"/>
      <c r="Q130" s="768"/>
    </row>
    <row r="131" spans="2:17" ht="12" thickBot="1" x14ac:dyDescent="0.25">
      <c r="B131" s="351" t="s">
        <v>5</v>
      </c>
      <c r="C131" s="721">
        <f>C124</f>
        <v>3116000</v>
      </c>
      <c r="D131" s="722"/>
      <c r="E131" s="723">
        <f>SUM(E125:E130)</f>
        <v>3116000</v>
      </c>
      <c r="F131" s="724"/>
      <c r="G131" s="716"/>
      <c r="H131" s="725">
        <f>SUM(H125:H130)</f>
        <v>779000</v>
      </c>
      <c r="I131" s="719">
        <f>SUM(I125:I130)</f>
        <v>2337000</v>
      </c>
      <c r="J131" s="393"/>
      <c r="K131" s="393"/>
      <c r="L131" s="455">
        <f>SUM(L125:L130)</f>
        <v>841320.00000000012</v>
      </c>
      <c r="M131" s="457">
        <f>SUM(M125:M130)</f>
        <v>2274680</v>
      </c>
      <c r="N131" s="776"/>
      <c r="O131" s="755">
        <v>30</v>
      </c>
      <c r="P131" s="717" t="e">
        <f>O131*#REF!</f>
        <v>#REF!</v>
      </c>
      <c r="Q131" s="775" t="e">
        <f>M131-P131</f>
        <v>#REF!</v>
      </c>
    </row>
    <row r="132" spans="2:17" x14ac:dyDescent="0.2">
      <c r="B132" s="351" t="s">
        <v>77</v>
      </c>
      <c r="C132" s="699"/>
      <c r="D132" s="699"/>
      <c r="E132" s="726"/>
      <c r="F132" s="727"/>
      <c r="G132" s="699"/>
      <c r="H132" s="720">
        <f>H131/C131</f>
        <v>0.25</v>
      </c>
      <c r="I132" s="699"/>
      <c r="L132" s="458">
        <f>L131/C131</f>
        <v>0.27</v>
      </c>
      <c r="N132" s="727"/>
      <c r="O132" s="739"/>
      <c r="P132" s="727"/>
      <c r="Q132" s="739"/>
    </row>
    <row r="133" spans="2:17" hidden="1" x14ac:dyDescent="0.2"/>
    <row r="134" spans="2:17" hidden="1" x14ac:dyDescent="0.2">
      <c r="I134" s="446" t="s">
        <v>158</v>
      </c>
    </row>
    <row r="135" spans="2:17" hidden="1" x14ac:dyDescent="0.2"/>
    <row r="136" spans="2:17" hidden="1" x14ac:dyDescent="0.2">
      <c r="E136" s="446" t="s">
        <v>159</v>
      </c>
      <c r="M136" s="446" t="s">
        <v>290</v>
      </c>
    </row>
    <row r="137" spans="2:17" hidden="1" x14ac:dyDescent="0.2">
      <c r="E137" s="24" t="s">
        <v>162</v>
      </c>
      <c r="F137" s="24" t="s">
        <v>162</v>
      </c>
      <c r="G137" s="24" t="s">
        <v>458</v>
      </c>
      <c r="M137" s="24" t="s">
        <v>162</v>
      </c>
      <c r="N137" s="24" t="s">
        <v>162</v>
      </c>
      <c r="O137" s="24" t="s">
        <v>458</v>
      </c>
    </row>
    <row r="138" spans="2:17" hidden="1" x14ac:dyDescent="0.2">
      <c r="E138" s="24" t="s">
        <v>160</v>
      </c>
      <c r="F138" s="395">
        <f>F95</f>
        <v>0.7124399652890826</v>
      </c>
      <c r="G138" s="396">
        <f>I95</f>
        <v>0.2875600347109174</v>
      </c>
      <c r="H138" s="395"/>
      <c r="M138" s="24" t="s">
        <v>160</v>
      </c>
      <c r="N138" s="397">
        <f>F94</f>
        <v>0.73381912084228729</v>
      </c>
      <c r="O138" s="398">
        <f>I94</f>
        <v>0.26618087915771271</v>
      </c>
    </row>
    <row r="139" spans="2:17" hidden="1" x14ac:dyDescent="0.2">
      <c r="E139" s="24" t="s">
        <v>161</v>
      </c>
      <c r="F139" s="395">
        <f>J95</f>
        <v>0.78438320443310416</v>
      </c>
      <c r="G139" s="396">
        <f>M95</f>
        <v>0.21561679556689584</v>
      </c>
      <c r="H139" s="395"/>
      <c r="M139" s="24" t="s">
        <v>161</v>
      </c>
      <c r="N139" s="397">
        <f>J94</f>
        <v>0.8</v>
      </c>
      <c r="O139" s="398">
        <f>M94</f>
        <v>0.19999999999999996</v>
      </c>
    </row>
    <row r="140" spans="2:17" hidden="1" x14ac:dyDescent="0.2"/>
    <row r="141" spans="2:17" hidden="1" x14ac:dyDescent="0.2">
      <c r="E141" s="24" t="s">
        <v>163</v>
      </c>
      <c r="M141" s="24" t="s">
        <v>163</v>
      </c>
    </row>
    <row r="142" spans="2:17" hidden="1" x14ac:dyDescent="0.2">
      <c r="E142" s="399" t="s">
        <v>160</v>
      </c>
      <c r="F142" s="400">
        <f>+(E95-H95)/D3</f>
        <v>334.41460424334588</v>
      </c>
      <c r="M142" s="24" t="s">
        <v>160</v>
      </c>
      <c r="N142" s="388">
        <f>+(E94-H94)/D3</f>
        <v>10.205931558935362</v>
      </c>
    </row>
    <row r="143" spans="2:17" hidden="1" x14ac:dyDescent="0.2">
      <c r="E143" s="24" t="s">
        <v>161</v>
      </c>
      <c r="F143" s="400">
        <f>+(E95-P95)/D3</f>
        <v>250.74904942965765</v>
      </c>
      <c r="M143" s="24" t="s">
        <v>161</v>
      </c>
      <c r="N143" s="388">
        <f>+(E94-P94)/D3</f>
        <v>7.668418250950567</v>
      </c>
    </row>
    <row r="144" spans="2:17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7" spans="4:10" ht="12" x14ac:dyDescent="0.2">
      <c r="D177" s="785"/>
      <c r="E177" s="785"/>
      <c r="F177" s="785"/>
      <c r="G177" s="785"/>
      <c r="H177" s="785"/>
      <c r="I177" s="658"/>
    </row>
    <row r="178" spans="4:10" ht="12" x14ac:dyDescent="0.2">
      <c r="D178" s="785"/>
      <c r="E178" s="785"/>
      <c r="F178" s="785"/>
      <c r="G178" s="785" t="s">
        <v>562</v>
      </c>
      <c r="H178" s="785"/>
      <c r="I178" s="658"/>
      <c r="J178" s="658"/>
    </row>
    <row r="179" spans="4:10" ht="12" x14ac:dyDescent="0.2">
      <c r="D179" s="785"/>
      <c r="E179" s="785"/>
      <c r="F179" s="785" t="s">
        <v>513</v>
      </c>
      <c r="G179" s="785"/>
      <c r="H179" s="786" t="s">
        <v>566</v>
      </c>
      <c r="I179" s="658"/>
      <c r="J179" s="658"/>
    </row>
    <row r="180" spans="4:10" ht="12" x14ac:dyDescent="0.2">
      <c r="D180" s="785"/>
      <c r="E180" s="785"/>
      <c r="F180" s="786" t="s">
        <v>563</v>
      </c>
      <c r="G180" s="785"/>
      <c r="H180" s="786" t="s">
        <v>565</v>
      </c>
      <c r="I180" s="658"/>
      <c r="J180" s="658"/>
    </row>
    <row r="181" spans="4:10" ht="12" x14ac:dyDescent="0.2">
      <c r="D181" s="785"/>
      <c r="E181" s="785" t="s">
        <v>385</v>
      </c>
      <c r="F181" s="787">
        <f>H12/E12</f>
        <v>0.9</v>
      </c>
      <c r="G181" s="785" t="s">
        <v>385</v>
      </c>
      <c r="H181" s="787">
        <f>L12/E12</f>
        <v>0.8</v>
      </c>
      <c r="I181" s="658"/>
      <c r="J181" s="658"/>
    </row>
    <row r="182" spans="4:10" ht="12" x14ac:dyDescent="0.2">
      <c r="D182" s="785"/>
      <c r="E182" s="785" t="s">
        <v>159</v>
      </c>
      <c r="F182" s="788">
        <f>F95</f>
        <v>0.7124399652890826</v>
      </c>
      <c r="G182" s="785" t="s">
        <v>159</v>
      </c>
      <c r="H182" s="788">
        <f>J95</f>
        <v>0.78438320443310416</v>
      </c>
      <c r="I182" s="658"/>
      <c r="J182" s="658"/>
    </row>
    <row r="183" spans="4:10" ht="12" x14ac:dyDescent="0.2">
      <c r="D183" s="785"/>
      <c r="E183" s="785" t="s">
        <v>197</v>
      </c>
      <c r="F183" s="787">
        <f>(H23+H30)/(E23+E30)</f>
        <v>0.63635977022128953</v>
      </c>
      <c r="G183" s="785" t="s">
        <v>197</v>
      </c>
      <c r="H183" s="787">
        <f>(L23+L30)/(E23+E30)</f>
        <v>0.8</v>
      </c>
      <c r="I183" s="658"/>
      <c r="J183" s="658"/>
    </row>
    <row r="184" spans="4:10" ht="12" x14ac:dyDescent="0.2">
      <c r="D184" s="785"/>
      <c r="E184" s="785" t="s">
        <v>300</v>
      </c>
      <c r="F184" s="787">
        <f>H131/E131</f>
        <v>0.25</v>
      </c>
      <c r="G184" s="785" t="s">
        <v>300</v>
      </c>
      <c r="H184" s="787">
        <f>L131/E131</f>
        <v>0.27</v>
      </c>
      <c r="I184" s="658"/>
      <c r="J184" s="658"/>
    </row>
    <row r="185" spans="4:10" ht="12" x14ac:dyDescent="0.2">
      <c r="D185" s="785"/>
      <c r="E185" s="785" t="s">
        <v>564</v>
      </c>
      <c r="F185" s="788">
        <f>(F181+F182+F183+F184)/4</f>
        <v>0.62469993387759304</v>
      </c>
      <c r="G185" s="785"/>
      <c r="H185" s="787">
        <f>(H181+H182+H183+H184)/4</f>
        <v>0.66359580110827598</v>
      </c>
      <c r="I185" s="658"/>
      <c r="J185" s="658"/>
    </row>
    <row r="186" spans="4:10" ht="12" x14ac:dyDescent="0.2">
      <c r="D186" s="785"/>
      <c r="E186" s="785"/>
      <c r="F186" s="785"/>
      <c r="G186" s="785"/>
      <c r="H186" s="785"/>
    </row>
    <row r="187" spans="4:10" ht="12" x14ac:dyDescent="0.2">
      <c r="D187" s="785"/>
      <c r="E187" s="785"/>
      <c r="F187" s="785"/>
      <c r="G187" s="785"/>
      <c r="H187" s="785"/>
    </row>
    <row r="188" spans="4:10" ht="12" x14ac:dyDescent="0.2">
      <c r="D188" s="785"/>
      <c r="E188" s="785"/>
      <c r="F188" s="785"/>
      <c r="G188" s="785"/>
      <c r="H188" s="785"/>
    </row>
  </sheetData>
  <mergeCells count="14">
    <mergeCell ref="C111:Q111"/>
    <mergeCell ref="A39:B39"/>
    <mergeCell ref="A48:B48"/>
    <mergeCell ref="K67:L67"/>
    <mergeCell ref="K89:L89"/>
    <mergeCell ref="J92:M92"/>
    <mergeCell ref="N92:Q92"/>
    <mergeCell ref="B91:Q91"/>
    <mergeCell ref="F7:M7"/>
    <mergeCell ref="C6:E6"/>
    <mergeCell ref="F6:I6"/>
    <mergeCell ref="K6:M6"/>
    <mergeCell ref="N6:Q6"/>
    <mergeCell ref="N7:Q7"/>
  </mergeCells>
  <phoneticPr fontId="0" type="noConversion"/>
  <pageMargins left="0.39370078740157483" right="0.51181102362204722" top="0.37" bottom="0.42" header="0.11811023622047245" footer="0"/>
  <pageSetup scale="75" fitToWidth="4"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5"/>
  <sheetViews>
    <sheetView topLeftCell="A17" workbookViewId="0">
      <selection activeCell="E47" sqref="E47"/>
    </sheetView>
  </sheetViews>
  <sheetFormatPr baseColWidth="10" defaultColWidth="11.42578125" defaultRowHeight="11.25" x14ac:dyDescent="0.2"/>
  <cols>
    <col min="1" max="2" width="11.42578125" style="7"/>
    <col min="3" max="3" width="41.5703125" style="7" bestFit="1" customWidth="1"/>
    <col min="4" max="16384" width="11.42578125" style="7"/>
  </cols>
  <sheetData>
    <row r="2" spans="2:18" x14ac:dyDescent="0.2">
      <c r="B2" s="818" t="s">
        <v>86</v>
      </c>
      <c r="C2" s="818"/>
      <c r="D2" s="24"/>
      <c r="E2" s="24"/>
      <c r="F2" s="24"/>
    </row>
    <row r="3" spans="2:18" x14ac:dyDescent="0.2">
      <c r="B3" s="818" t="s">
        <v>87</v>
      </c>
      <c r="C3" s="818"/>
      <c r="D3" s="24"/>
      <c r="E3" s="24"/>
      <c r="F3" s="24"/>
    </row>
    <row r="4" spans="2:18" x14ac:dyDescent="0.2">
      <c r="B4" s="25"/>
      <c r="C4" s="26"/>
      <c r="D4" s="24"/>
      <c r="E4" s="24"/>
      <c r="F4" s="24"/>
    </row>
    <row r="5" spans="2:18" ht="22.5" x14ac:dyDescent="0.2">
      <c r="B5" s="819" t="s">
        <v>88</v>
      </c>
      <c r="C5" s="820"/>
      <c r="D5" s="27" t="s">
        <v>89</v>
      </c>
      <c r="E5" s="28" t="s">
        <v>90</v>
      </c>
      <c r="F5" s="27" t="s">
        <v>91</v>
      </c>
      <c r="H5" s="7" t="s">
        <v>129</v>
      </c>
      <c r="N5" s="7" t="s">
        <v>130</v>
      </c>
    </row>
    <row r="6" spans="2:18" x14ac:dyDescent="0.2">
      <c r="B6" s="29"/>
      <c r="C6" s="30" t="s">
        <v>92</v>
      </c>
      <c r="D6" s="31"/>
      <c r="E6" s="32"/>
      <c r="F6" s="33"/>
      <c r="H6" s="7" t="s">
        <v>56</v>
      </c>
      <c r="I6" s="7" t="s">
        <v>131</v>
      </c>
      <c r="N6" s="7" t="s">
        <v>56</v>
      </c>
      <c r="O6" s="7" t="s">
        <v>132</v>
      </c>
    </row>
    <row r="7" spans="2:18" x14ac:dyDescent="0.2">
      <c r="B7" s="34"/>
      <c r="C7" s="35" t="s">
        <v>93</v>
      </c>
      <c r="D7" s="36">
        <v>0.7</v>
      </c>
      <c r="E7" s="37">
        <v>1.2</v>
      </c>
      <c r="F7" s="38"/>
      <c r="H7" s="7" t="s">
        <v>133</v>
      </c>
      <c r="I7" s="7" t="s">
        <v>134</v>
      </c>
      <c r="J7" s="7" t="s">
        <v>135</v>
      </c>
      <c r="K7" s="7" t="s">
        <v>136</v>
      </c>
      <c r="L7" s="7" t="s">
        <v>137</v>
      </c>
      <c r="N7" s="7" t="s">
        <v>133</v>
      </c>
      <c r="O7" s="7" t="s">
        <v>134</v>
      </c>
      <c r="P7" s="7" t="s">
        <v>135</v>
      </c>
      <c r="Q7" s="7" t="s">
        <v>136</v>
      </c>
      <c r="R7" s="7" t="s">
        <v>137</v>
      </c>
    </row>
    <row r="8" spans="2:18" x14ac:dyDescent="0.2">
      <c r="B8" s="39"/>
      <c r="C8" s="40" t="s">
        <v>94</v>
      </c>
      <c r="D8" s="36">
        <v>0.7</v>
      </c>
      <c r="E8" s="37"/>
      <c r="F8" s="38"/>
      <c r="H8" s="7" t="s">
        <v>138</v>
      </c>
      <c r="I8" s="66">
        <v>11.204288436036544</v>
      </c>
      <c r="J8" s="66">
        <v>18.238424331212819</v>
      </c>
      <c r="K8" s="66">
        <v>21.46116779074335</v>
      </c>
      <c r="L8" s="66">
        <v>30.883699170526757</v>
      </c>
      <c r="N8" s="7" t="s">
        <v>138</v>
      </c>
      <c r="O8" s="66">
        <v>1.0083859592432889</v>
      </c>
      <c r="P8" s="66">
        <v>1.6414581898091536</v>
      </c>
      <c r="Q8" s="66">
        <v>1.9315051011669013</v>
      </c>
      <c r="R8" s="66">
        <v>2.7795329253474081</v>
      </c>
    </row>
    <row r="9" spans="2:18" x14ac:dyDescent="0.2">
      <c r="B9" s="39"/>
      <c r="C9" s="40" t="s">
        <v>95</v>
      </c>
      <c r="D9" s="36">
        <v>0.7</v>
      </c>
      <c r="E9" s="37"/>
      <c r="F9" s="38"/>
      <c r="H9" s="7" t="s">
        <v>139</v>
      </c>
      <c r="I9" s="66">
        <v>11.885390954857158</v>
      </c>
      <c r="J9" s="66">
        <v>19.322285472829357</v>
      </c>
      <c r="K9" s="66">
        <v>22.693389710131701</v>
      </c>
      <c r="L9" s="66">
        <v>32.611350521421762</v>
      </c>
      <c r="N9" s="7" t="s">
        <v>139</v>
      </c>
      <c r="O9" s="66">
        <v>1.0696851859371441</v>
      </c>
      <c r="P9" s="66">
        <v>1.7390056925546422</v>
      </c>
      <c r="Q9" s="66">
        <v>2.0424050739118531</v>
      </c>
      <c r="R9" s="66">
        <v>2.9350215469279588</v>
      </c>
    </row>
    <row r="10" spans="2:18" x14ac:dyDescent="0.2">
      <c r="B10" s="39"/>
      <c r="C10" s="40" t="s">
        <v>96</v>
      </c>
      <c r="D10" s="36">
        <v>0.7</v>
      </c>
      <c r="E10" s="37"/>
      <c r="F10" s="38"/>
      <c r="H10" s="7" t="s">
        <v>140</v>
      </c>
      <c r="I10" s="66">
        <v>12.894675058126765</v>
      </c>
      <c r="J10" s="66">
        <v>21.174216193700342</v>
      </c>
      <c r="K10" s="66">
        <v>26.998696397276557</v>
      </c>
      <c r="L10" s="66">
        <v>36.173564392338619</v>
      </c>
      <c r="N10" s="7" t="s">
        <v>140</v>
      </c>
      <c r="O10" s="66">
        <v>1.1605207552314087</v>
      </c>
      <c r="P10" s="66">
        <v>1.9056794574330307</v>
      </c>
      <c r="Q10" s="66">
        <v>2.4298826757548899</v>
      </c>
      <c r="R10" s="66">
        <v>3.2556207953104757</v>
      </c>
    </row>
    <row r="11" spans="2:18" x14ac:dyDescent="0.2">
      <c r="B11" s="39"/>
      <c r="C11" s="40" t="s">
        <v>97</v>
      </c>
      <c r="D11" s="36"/>
      <c r="E11" s="37"/>
      <c r="F11" s="38"/>
      <c r="H11" s="7" t="s">
        <v>141</v>
      </c>
      <c r="I11" s="66">
        <v>13.844793533456153</v>
      </c>
      <c r="J11" s="66">
        <v>22.705807175931319</v>
      </c>
      <c r="K11" s="66">
        <v>28.915655433101126</v>
      </c>
      <c r="L11" s="66">
        <v>38.663634892481873</v>
      </c>
      <c r="N11" s="7" t="s">
        <v>141</v>
      </c>
      <c r="O11" s="66">
        <v>1.2460314180110537</v>
      </c>
      <c r="P11" s="66">
        <v>2.0435226458338187</v>
      </c>
      <c r="Q11" s="66">
        <v>2.6024089889791013</v>
      </c>
      <c r="R11" s="66">
        <v>3.4797271403233685</v>
      </c>
    </row>
    <row r="12" spans="2:18" x14ac:dyDescent="0.2">
      <c r="B12" s="39"/>
      <c r="C12" s="40" t="s">
        <v>98</v>
      </c>
      <c r="D12" s="36">
        <v>0.7</v>
      </c>
      <c r="E12" s="37"/>
      <c r="F12" s="38">
        <v>2</v>
      </c>
      <c r="H12" s="7" t="s">
        <v>142</v>
      </c>
      <c r="I12" s="66">
        <v>14.254464243548542</v>
      </c>
      <c r="J12" s="66">
        <v>23.092270766233579</v>
      </c>
      <c r="K12" s="66">
        <v>29.39935824935041</v>
      </c>
      <c r="L12" s="66">
        <v>42.557849880519143</v>
      </c>
      <c r="N12" s="7" t="s">
        <v>142</v>
      </c>
      <c r="O12" s="66">
        <v>1.2829017819193687</v>
      </c>
      <c r="P12" s="66">
        <v>2.0783043689610219</v>
      </c>
      <c r="Q12" s="66">
        <v>2.6459422424415369</v>
      </c>
      <c r="R12" s="66">
        <v>3.8302064892467227</v>
      </c>
    </row>
    <row r="13" spans="2:18" x14ac:dyDescent="0.2">
      <c r="B13" s="41"/>
      <c r="C13" s="42" t="s">
        <v>99</v>
      </c>
      <c r="D13" s="43">
        <v>0.7</v>
      </c>
      <c r="E13" s="44"/>
      <c r="F13" s="45">
        <v>10</v>
      </c>
      <c r="H13" s="7" t="s">
        <v>143</v>
      </c>
      <c r="I13" s="66">
        <v>15.866200616952465</v>
      </c>
      <c r="J13" s="66">
        <v>25.657080581777027</v>
      </c>
      <c r="K13" s="66">
        <v>29.895302472164353</v>
      </c>
      <c r="L13" s="66">
        <v>42.708877692931466</v>
      </c>
      <c r="N13" s="7" t="s">
        <v>143</v>
      </c>
      <c r="O13" s="66">
        <v>1.4279580555257219</v>
      </c>
      <c r="P13" s="66">
        <v>2.3091372523599323</v>
      </c>
      <c r="Q13" s="66">
        <v>2.6905772224947917</v>
      </c>
      <c r="R13" s="66">
        <v>3.8437989923638316</v>
      </c>
    </row>
    <row r="14" spans="2:18" x14ac:dyDescent="0.2">
      <c r="B14" s="25"/>
      <c r="C14" s="26"/>
      <c r="D14" s="46"/>
      <c r="E14" s="47"/>
      <c r="F14" s="47"/>
      <c r="H14" s="7" t="s">
        <v>144</v>
      </c>
      <c r="I14" s="66">
        <v>18.35869408206802</v>
      </c>
      <c r="J14" s="66">
        <v>32.314066098651452</v>
      </c>
      <c r="K14" s="66">
        <v>39.360581433382457</v>
      </c>
      <c r="L14" s="66">
        <v>48.107905823082291</v>
      </c>
      <c r="N14" s="7" t="s">
        <v>144</v>
      </c>
      <c r="O14" s="66">
        <v>1.6522824673861216</v>
      </c>
      <c r="P14" s="66">
        <v>2.9082659488786304</v>
      </c>
      <c r="Q14" s="66">
        <v>3.542452329004421</v>
      </c>
      <c r="R14" s="66">
        <v>4.329711524077406</v>
      </c>
    </row>
    <row r="15" spans="2:18" x14ac:dyDescent="0.2">
      <c r="B15" s="34"/>
      <c r="C15" s="48" t="s">
        <v>100</v>
      </c>
      <c r="D15" s="49"/>
      <c r="E15" s="50"/>
      <c r="F15" s="51"/>
      <c r="H15" s="7" t="s">
        <v>145</v>
      </c>
      <c r="I15" s="66">
        <v>21.466440300759412</v>
      </c>
      <c r="J15" s="66">
        <v>38.472026693995829</v>
      </c>
      <c r="K15" s="66">
        <v>46.969141091941545</v>
      </c>
      <c r="L15" s="66">
        <v>56.596634276523481</v>
      </c>
      <c r="N15" s="7" t="s">
        <v>145</v>
      </c>
      <c r="O15" s="66">
        <v>1.9319796270683471</v>
      </c>
      <c r="P15" s="66">
        <v>3.4624824024596248</v>
      </c>
      <c r="Q15" s="66">
        <v>4.2272226982747387</v>
      </c>
      <c r="R15" s="66">
        <v>5.093697084887113</v>
      </c>
    </row>
    <row r="16" spans="2:18" x14ac:dyDescent="0.2">
      <c r="B16" s="34"/>
      <c r="C16" s="52" t="s">
        <v>101</v>
      </c>
      <c r="D16" s="49">
        <v>0.7</v>
      </c>
      <c r="E16" s="50">
        <v>2.5</v>
      </c>
      <c r="F16" s="51"/>
      <c r="H16" s="7" t="s">
        <v>146</v>
      </c>
      <c r="I16" s="66">
        <v>24.574186519450805</v>
      </c>
      <c r="J16" s="66">
        <v>44.629987289340207</v>
      </c>
      <c r="K16" s="66">
        <v>54.577700750500632</v>
      </c>
      <c r="L16" s="66">
        <v>65.085362729964658</v>
      </c>
      <c r="N16" s="7" t="s">
        <v>146</v>
      </c>
      <c r="O16" s="66">
        <v>2.2116767867505724</v>
      </c>
      <c r="P16" s="66">
        <v>4.0166988560406187</v>
      </c>
      <c r="Q16" s="66">
        <v>4.9119930675450565</v>
      </c>
      <c r="R16" s="66">
        <v>5.8576826456968192</v>
      </c>
    </row>
    <row r="17" spans="2:6" x14ac:dyDescent="0.2">
      <c r="B17" s="39"/>
      <c r="C17" s="53" t="s">
        <v>102</v>
      </c>
      <c r="D17" s="36">
        <v>0.7</v>
      </c>
      <c r="E17" s="37"/>
      <c r="F17" s="38"/>
    </row>
    <row r="18" spans="2:6" x14ac:dyDescent="0.2">
      <c r="B18" s="39"/>
      <c r="C18" s="53" t="s">
        <v>103</v>
      </c>
      <c r="D18" s="36">
        <v>0.7</v>
      </c>
      <c r="E18" s="37"/>
      <c r="F18" s="38"/>
    </row>
    <row r="19" spans="2:6" x14ac:dyDescent="0.2">
      <c r="B19" s="39"/>
      <c r="C19" s="53" t="s">
        <v>104</v>
      </c>
      <c r="D19" s="36">
        <v>0.7</v>
      </c>
      <c r="E19" s="37"/>
      <c r="F19" s="38"/>
    </row>
    <row r="20" spans="2:6" x14ac:dyDescent="0.2">
      <c r="B20" s="39"/>
      <c r="C20" s="53" t="s">
        <v>105</v>
      </c>
      <c r="D20" s="36">
        <v>0.7</v>
      </c>
      <c r="E20" s="54"/>
      <c r="F20" s="55"/>
    </row>
    <row r="21" spans="2:6" x14ac:dyDescent="0.2">
      <c r="B21" s="39"/>
      <c r="C21" s="53" t="s">
        <v>106</v>
      </c>
      <c r="D21" s="36">
        <v>0.7</v>
      </c>
      <c r="E21" s="54"/>
      <c r="F21" s="55"/>
    </row>
    <row r="22" spans="2:6" x14ac:dyDescent="0.2">
      <c r="B22" s="41"/>
      <c r="C22" s="56" t="s">
        <v>107</v>
      </c>
      <c r="D22" s="43">
        <v>0.7</v>
      </c>
      <c r="E22" s="57"/>
      <c r="F22" s="58"/>
    </row>
    <row r="23" spans="2:6" x14ac:dyDescent="0.2">
      <c r="B23" s="25"/>
      <c r="C23" s="26"/>
      <c r="D23" s="24"/>
      <c r="E23" s="24"/>
      <c r="F23" s="24"/>
    </row>
    <row r="24" spans="2:6" x14ac:dyDescent="0.2">
      <c r="B24" s="34"/>
      <c r="C24" s="48" t="s">
        <v>108</v>
      </c>
      <c r="D24" s="49"/>
      <c r="E24" s="50"/>
      <c r="F24" s="51"/>
    </row>
    <row r="25" spans="2:6" x14ac:dyDescent="0.2">
      <c r="B25" s="34"/>
      <c r="C25" s="52" t="s">
        <v>109</v>
      </c>
      <c r="D25" s="49">
        <v>0.7</v>
      </c>
      <c r="E25" s="50"/>
      <c r="F25" s="51">
        <v>20</v>
      </c>
    </row>
    <row r="26" spans="2:6" x14ac:dyDescent="0.2">
      <c r="B26" s="39"/>
      <c r="C26" s="53" t="s">
        <v>110</v>
      </c>
      <c r="D26" s="36">
        <v>0.7</v>
      </c>
      <c r="E26" s="37"/>
      <c r="F26" s="38">
        <v>20</v>
      </c>
    </row>
    <row r="27" spans="2:6" x14ac:dyDescent="0.2">
      <c r="B27" s="39"/>
      <c r="C27" s="53" t="s">
        <v>111</v>
      </c>
      <c r="D27" s="36">
        <v>0.7</v>
      </c>
      <c r="E27" s="37"/>
      <c r="F27" s="38">
        <v>15</v>
      </c>
    </row>
    <row r="28" spans="2:6" x14ac:dyDescent="0.2">
      <c r="B28" s="39"/>
      <c r="C28" s="53" t="s">
        <v>112</v>
      </c>
      <c r="D28" s="36">
        <v>0.5</v>
      </c>
      <c r="E28" s="37"/>
      <c r="F28" s="38">
        <v>20</v>
      </c>
    </row>
    <row r="29" spans="2:6" x14ac:dyDescent="0.2">
      <c r="B29" s="41"/>
      <c r="C29" s="56" t="s">
        <v>113</v>
      </c>
      <c r="D29" s="43">
        <v>0.5</v>
      </c>
      <c r="E29" s="44"/>
      <c r="F29" s="45">
        <v>20</v>
      </c>
    </row>
    <row r="30" spans="2:6" x14ac:dyDescent="0.2">
      <c r="B30" s="25"/>
      <c r="C30" s="26"/>
      <c r="D30" s="24"/>
      <c r="E30" s="24"/>
      <c r="F30" s="24"/>
    </row>
    <row r="31" spans="2:6" x14ac:dyDescent="0.2">
      <c r="B31" s="29"/>
      <c r="C31" s="30" t="s">
        <v>114</v>
      </c>
      <c r="D31" s="49"/>
      <c r="E31" s="50"/>
      <c r="F31" s="51"/>
    </row>
    <row r="32" spans="2:6" x14ac:dyDescent="0.2">
      <c r="B32" s="39"/>
      <c r="C32" s="53" t="s">
        <v>115</v>
      </c>
      <c r="D32" s="49">
        <v>0.5</v>
      </c>
      <c r="E32" s="50">
        <v>0.5</v>
      </c>
      <c r="F32" s="821">
        <v>10</v>
      </c>
    </row>
    <row r="33" spans="2:6" x14ac:dyDescent="0.2">
      <c r="B33" s="39"/>
      <c r="C33" s="53" t="s">
        <v>116</v>
      </c>
      <c r="D33" s="36">
        <v>0.5</v>
      </c>
      <c r="E33" s="37">
        <v>0.5</v>
      </c>
      <c r="F33" s="822"/>
    </row>
    <row r="34" spans="2:6" x14ac:dyDescent="0.2">
      <c r="B34" s="39"/>
      <c r="C34" s="53" t="s">
        <v>117</v>
      </c>
      <c r="D34" s="36">
        <v>0.5</v>
      </c>
      <c r="E34" s="37">
        <v>0.5</v>
      </c>
      <c r="F34" s="822"/>
    </row>
    <row r="35" spans="2:6" x14ac:dyDescent="0.2">
      <c r="B35" s="41"/>
      <c r="C35" s="56" t="s">
        <v>118</v>
      </c>
      <c r="D35" s="59"/>
      <c r="E35" s="57"/>
      <c r="F35" s="58"/>
    </row>
    <row r="36" spans="2:6" x14ac:dyDescent="0.2">
      <c r="B36" s="25"/>
      <c r="C36" s="26"/>
      <c r="D36" s="24"/>
      <c r="E36" s="24"/>
      <c r="F36" s="24"/>
    </row>
    <row r="37" spans="2:6" x14ac:dyDescent="0.2">
      <c r="B37" s="29"/>
      <c r="C37" s="30" t="s">
        <v>119</v>
      </c>
      <c r="D37" s="60"/>
      <c r="E37" s="61"/>
      <c r="F37" s="62"/>
    </row>
    <row r="38" spans="2:6" x14ac:dyDescent="0.2">
      <c r="B38" s="39"/>
      <c r="C38" s="40" t="s">
        <v>120</v>
      </c>
      <c r="D38" s="36">
        <v>0.7</v>
      </c>
      <c r="E38" s="37"/>
      <c r="F38" s="38">
        <v>5</v>
      </c>
    </row>
    <row r="39" spans="2:6" x14ac:dyDescent="0.2">
      <c r="B39" s="39"/>
      <c r="C39" s="40" t="s">
        <v>121</v>
      </c>
      <c r="D39" s="36">
        <v>0.7</v>
      </c>
      <c r="E39" s="37"/>
      <c r="F39" s="38">
        <v>20</v>
      </c>
    </row>
    <row r="40" spans="2:6" x14ac:dyDescent="0.2">
      <c r="B40" s="41"/>
      <c r="C40" s="42" t="s">
        <v>122</v>
      </c>
      <c r="D40" s="43">
        <v>0.5</v>
      </c>
      <c r="E40" s="44"/>
      <c r="F40" s="45">
        <v>5</v>
      </c>
    </row>
    <row r="41" spans="2:6" x14ac:dyDescent="0.2">
      <c r="B41" s="25" t="s">
        <v>123</v>
      </c>
      <c r="C41" s="26" t="s">
        <v>124</v>
      </c>
      <c r="D41" s="63"/>
      <c r="E41" s="37"/>
      <c r="F41" s="37"/>
    </row>
    <row r="42" spans="2:6" x14ac:dyDescent="0.2">
      <c r="B42" s="64"/>
      <c r="C42" s="53"/>
      <c r="D42" s="63"/>
      <c r="E42" s="37"/>
      <c r="F42" s="37"/>
    </row>
    <row r="43" spans="2:6" x14ac:dyDescent="0.2">
      <c r="B43" s="823" t="s">
        <v>125</v>
      </c>
      <c r="C43" s="824"/>
      <c r="D43" s="815">
        <v>350</v>
      </c>
      <c r="E43" s="816"/>
      <c r="F43" s="817"/>
    </row>
    <row r="44" spans="2:6" x14ac:dyDescent="0.2">
      <c r="B44" s="813" t="s">
        <v>126</v>
      </c>
      <c r="C44" s="814"/>
      <c r="D44" s="815">
        <v>2</v>
      </c>
      <c r="E44" s="816"/>
      <c r="F44" s="817"/>
    </row>
    <row r="45" spans="2:6" x14ac:dyDescent="0.2">
      <c r="B45" s="813" t="s">
        <v>127</v>
      </c>
      <c r="C45" s="814"/>
      <c r="D45" s="815">
        <v>6</v>
      </c>
      <c r="E45" s="816"/>
      <c r="F45" s="817"/>
    </row>
  </sheetData>
  <mergeCells count="10">
    <mergeCell ref="B44:C44"/>
    <mergeCell ref="D44:F44"/>
    <mergeCell ref="B45:C45"/>
    <mergeCell ref="D45:F45"/>
    <mergeCell ref="B2:C2"/>
    <mergeCell ref="B3:C3"/>
    <mergeCell ref="B5:C5"/>
    <mergeCell ref="F32:F34"/>
    <mergeCell ref="B43:C43"/>
    <mergeCell ref="D43:F4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9"/>
  <sheetViews>
    <sheetView showGridLines="0" workbookViewId="0">
      <selection activeCell="L27" sqref="L27"/>
    </sheetView>
  </sheetViews>
  <sheetFormatPr baseColWidth="10" defaultColWidth="11.42578125" defaultRowHeight="12" x14ac:dyDescent="0.2"/>
  <cols>
    <col min="1" max="5" width="11.42578125" style="72"/>
    <col min="6" max="6" width="13.7109375" style="72" bestFit="1" customWidth="1"/>
    <col min="7" max="9" width="11.42578125" style="72"/>
    <col min="10" max="10" width="17.140625" style="72" bestFit="1" customWidth="1"/>
    <col min="11" max="11" width="11.42578125" style="72" customWidth="1"/>
    <col min="12" max="12" width="11.42578125" style="72"/>
    <col min="13" max="13" width="13.7109375" style="72" bestFit="1" customWidth="1"/>
    <col min="14" max="16384" width="11.42578125" style="72"/>
  </cols>
  <sheetData>
    <row r="1" spans="1:14" ht="12.75" thickBot="1" x14ac:dyDescent="0.25"/>
    <row r="2" spans="1:14" ht="15.75" x14ac:dyDescent="0.2">
      <c r="A2" s="167"/>
      <c r="B2" s="828" t="s">
        <v>70</v>
      </c>
      <c r="C2" s="828"/>
      <c r="D2" s="828"/>
      <c r="E2" s="828"/>
      <c r="F2" s="828"/>
      <c r="G2" s="828"/>
      <c r="H2" s="828"/>
      <c r="I2" s="828"/>
      <c r="J2" s="828"/>
      <c r="K2" s="168"/>
      <c r="L2" s="168"/>
      <c r="M2" s="168"/>
      <c r="N2" s="169"/>
    </row>
    <row r="3" spans="1:14" x14ac:dyDescent="0.2">
      <c r="A3" s="89"/>
      <c r="B3" s="76"/>
      <c r="C3" s="76"/>
      <c r="D3" s="76"/>
      <c r="E3" s="833"/>
      <c r="F3" s="833"/>
      <c r="G3" s="833"/>
      <c r="H3" s="76"/>
      <c r="I3" s="76"/>
      <c r="J3" s="76"/>
      <c r="K3" s="76"/>
      <c r="L3" s="76"/>
      <c r="M3" s="76"/>
      <c r="N3" s="77"/>
    </row>
    <row r="4" spans="1:14" x14ac:dyDescent="0.2">
      <c r="A4" s="89"/>
      <c r="B4" s="76"/>
      <c r="C4" s="90" t="s">
        <v>52</v>
      </c>
      <c r="D4" s="74"/>
      <c r="E4" s="90" t="s">
        <v>529</v>
      </c>
      <c r="F4" s="74"/>
      <c r="G4" s="76"/>
      <c r="H4" s="76"/>
      <c r="I4" s="76"/>
      <c r="J4" s="76"/>
      <c r="K4" s="76"/>
      <c r="L4" s="76"/>
      <c r="M4" s="76"/>
      <c r="N4" s="77"/>
    </row>
    <row r="5" spans="1:14" x14ac:dyDescent="0.2">
      <c r="A5" s="89"/>
      <c r="B5" s="76"/>
      <c r="C5" s="74" t="s">
        <v>53</v>
      </c>
      <c r="D5" s="91"/>
      <c r="E5" s="74" t="s">
        <v>530</v>
      </c>
      <c r="F5" s="91"/>
      <c r="G5" s="76"/>
      <c r="H5" s="76"/>
      <c r="I5" s="76"/>
      <c r="J5" s="76"/>
      <c r="K5" s="76"/>
      <c r="L5" s="76"/>
      <c r="M5" s="76"/>
      <c r="N5" s="77"/>
    </row>
    <row r="6" spans="1:14" x14ac:dyDescent="0.2">
      <c r="A6" s="89"/>
      <c r="B6" s="76"/>
      <c r="C6" s="74" t="s">
        <v>69</v>
      </c>
      <c r="D6" s="91"/>
      <c r="E6" s="74" t="s">
        <v>507</v>
      </c>
      <c r="F6" s="103"/>
      <c r="G6" s="76"/>
      <c r="H6" s="76"/>
      <c r="I6" s="76"/>
      <c r="J6" s="76"/>
      <c r="K6" s="76"/>
      <c r="L6" s="76"/>
      <c r="M6" s="76"/>
      <c r="N6" s="77"/>
    </row>
    <row r="7" spans="1:14" x14ac:dyDescent="0.2">
      <c r="A7" s="89"/>
      <c r="B7" s="76"/>
      <c r="C7" s="76"/>
      <c r="D7" s="76"/>
      <c r="E7" s="76"/>
      <c r="F7" s="103"/>
      <c r="G7" s="76"/>
      <c r="H7" s="76"/>
      <c r="I7" s="76"/>
      <c r="J7" s="76"/>
      <c r="K7" s="76"/>
      <c r="L7" s="76"/>
      <c r="M7" s="76"/>
      <c r="N7" s="77"/>
    </row>
    <row r="8" spans="1:14" ht="12.75" x14ac:dyDescent="0.2">
      <c r="A8" s="89"/>
      <c r="B8" s="76"/>
      <c r="C8" s="834" t="s">
        <v>463</v>
      </c>
      <c r="D8" s="834"/>
      <c r="E8" s="834"/>
      <c r="F8" s="76"/>
      <c r="G8" s="76"/>
      <c r="H8" s="76"/>
      <c r="I8" s="76"/>
      <c r="J8" s="76"/>
      <c r="K8" s="76"/>
      <c r="L8" s="76"/>
      <c r="M8" s="76"/>
      <c r="N8" s="77"/>
    </row>
    <row r="9" spans="1:14" ht="12.75" x14ac:dyDescent="0.2">
      <c r="A9" s="89"/>
      <c r="B9" s="76"/>
      <c r="C9" s="76"/>
      <c r="D9" s="76"/>
      <c r="E9" s="76"/>
      <c r="F9" s="76"/>
      <c r="G9" s="76"/>
      <c r="H9" s="76"/>
      <c r="I9" s="76"/>
      <c r="J9" s="317"/>
      <c r="K9" s="76"/>
      <c r="L9" s="76"/>
      <c r="M9" s="76"/>
      <c r="N9" s="77"/>
    </row>
    <row r="10" spans="1:14" x14ac:dyDescent="0.2">
      <c r="A10" s="89"/>
      <c r="B10" s="101" t="s">
        <v>178</v>
      </c>
      <c r="C10" s="447" t="s">
        <v>54</v>
      </c>
      <c r="D10" s="76"/>
      <c r="E10" s="76"/>
      <c r="F10" s="76"/>
      <c r="G10" s="76"/>
      <c r="H10" s="257"/>
      <c r="I10" s="76"/>
      <c r="J10" s="76"/>
      <c r="K10" s="76"/>
      <c r="L10" s="76"/>
      <c r="M10" s="76"/>
      <c r="N10" s="77"/>
    </row>
    <row r="11" spans="1:14" x14ac:dyDescent="0.2">
      <c r="A11" s="89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7"/>
    </row>
    <row r="12" spans="1:14" x14ac:dyDescent="0.2">
      <c r="A12" s="89"/>
      <c r="B12" s="76"/>
      <c r="C12" s="74" t="s">
        <v>71</v>
      </c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7"/>
    </row>
    <row r="13" spans="1:14" x14ac:dyDescent="0.2">
      <c r="A13" s="89"/>
      <c r="B13" s="76"/>
      <c r="C13" s="76"/>
      <c r="D13" s="95"/>
      <c r="E13" s="278" t="s">
        <v>55</v>
      </c>
      <c r="F13" s="278" t="s">
        <v>56</v>
      </c>
      <c r="G13" s="76"/>
      <c r="H13" s="76"/>
      <c r="I13" s="76"/>
      <c r="J13" s="76"/>
      <c r="K13" s="76"/>
      <c r="L13" s="76"/>
      <c r="M13" s="76"/>
      <c r="N13" s="77"/>
    </row>
    <row r="14" spans="1:14" x14ac:dyDescent="0.2">
      <c r="A14" s="89"/>
      <c r="B14" s="76"/>
      <c r="C14" s="76"/>
      <c r="D14" s="279" t="s">
        <v>147</v>
      </c>
      <c r="E14" s="280" t="s">
        <v>419</v>
      </c>
      <c r="F14" s="280">
        <v>41</v>
      </c>
      <c r="G14" s="76"/>
      <c r="H14" s="76"/>
      <c r="I14" s="76"/>
      <c r="J14" s="76"/>
      <c r="K14" s="76"/>
      <c r="L14" s="76"/>
      <c r="M14" s="76"/>
      <c r="N14" s="77"/>
    </row>
    <row r="15" spans="1:14" x14ac:dyDescent="0.2">
      <c r="A15" s="89"/>
      <c r="B15" s="76"/>
      <c r="C15" s="76"/>
      <c r="D15" s="279" t="s">
        <v>441</v>
      </c>
      <c r="E15" s="280" t="s">
        <v>440</v>
      </c>
      <c r="F15" s="280">
        <v>42</v>
      </c>
      <c r="G15" s="76"/>
      <c r="H15" s="76"/>
      <c r="I15" s="76"/>
      <c r="J15" s="76"/>
      <c r="K15" s="76"/>
      <c r="L15" s="76"/>
      <c r="M15" s="76"/>
      <c r="N15" s="77"/>
    </row>
    <row r="16" spans="1:14" x14ac:dyDescent="0.2">
      <c r="A16" s="89"/>
      <c r="B16" s="76"/>
      <c r="C16" s="76"/>
      <c r="D16" s="279" t="s">
        <v>148</v>
      </c>
      <c r="E16" s="280" t="s">
        <v>440</v>
      </c>
      <c r="F16" s="280">
        <v>13</v>
      </c>
      <c r="G16" s="76"/>
      <c r="H16" s="76"/>
      <c r="I16" s="76"/>
      <c r="J16" s="76"/>
      <c r="K16" s="76"/>
      <c r="L16" s="76"/>
      <c r="M16" s="76"/>
      <c r="N16" s="77"/>
    </row>
    <row r="17" spans="1:14" x14ac:dyDescent="0.2">
      <c r="A17" s="89"/>
      <c r="B17" s="76"/>
      <c r="C17" s="76"/>
      <c r="D17" s="279" t="s">
        <v>444</v>
      </c>
      <c r="E17" s="280" t="s">
        <v>440</v>
      </c>
      <c r="F17" s="280">
        <v>10</v>
      </c>
      <c r="G17" s="76"/>
      <c r="H17" s="76"/>
      <c r="I17" s="76"/>
      <c r="J17" s="76"/>
      <c r="K17" s="76"/>
      <c r="L17" s="76"/>
      <c r="M17" s="76"/>
      <c r="N17" s="77"/>
    </row>
    <row r="18" spans="1:14" x14ac:dyDescent="0.2">
      <c r="A18" s="89"/>
      <c r="B18" s="76"/>
      <c r="C18" s="76"/>
      <c r="D18" s="279" t="s">
        <v>404</v>
      </c>
      <c r="E18" s="280" t="s">
        <v>442</v>
      </c>
      <c r="F18" s="280" t="s">
        <v>442</v>
      </c>
      <c r="G18" s="76"/>
      <c r="H18" s="76"/>
      <c r="I18" s="76"/>
      <c r="J18" s="76"/>
      <c r="K18" s="76"/>
      <c r="L18" s="76"/>
      <c r="M18" s="76"/>
      <c r="N18" s="77"/>
    </row>
    <row r="19" spans="1:14" x14ac:dyDescent="0.2">
      <c r="A19" s="89"/>
      <c r="B19" s="76"/>
      <c r="C19" s="76"/>
      <c r="D19" s="279" t="s">
        <v>443</v>
      </c>
      <c r="E19" s="280" t="s">
        <v>442</v>
      </c>
      <c r="F19" s="280" t="s">
        <v>442</v>
      </c>
      <c r="G19" s="76"/>
      <c r="H19" s="76"/>
      <c r="I19" s="76"/>
      <c r="J19" s="76"/>
      <c r="K19" s="76"/>
      <c r="L19" s="76"/>
      <c r="M19" s="76"/>
      <c r="N19" s="77"/>
    </row>
    <row r="20" spans="1:14" x14ac:dyDescent="0.2">
      <c r="A20" s="89"/>
      <c r="B20" s="101" t="s">
        <v>186</v>
      </c>
      <c r="C20" s="447" t="s">
        <v>72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7"/>
    </row>
    <row r="21" spans="1:14" x14ac:dyDescent="0.2">
      <c r="A21" s="89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7"/>
    </row>
    <row r="22" spans="1:14" x14ac:dyDescent="0.2">
      <c r="A22" s="89"/>
      <c r="B22" s="76"/>
      <c r="C22" s="74" t="s">
        <v>57</v>
      </c>
      <c r="D22" s="76"/>
      <c r="E22" s="91" t="s">
        <v>505</v>
      </c>
      <c r="F22" s="76"/>
      <c r="G22" s="76"/>
      <c r="H22" s="76"/>
      <c r="I22" s="76"/>
      <c r="J22" s="76"/>
      <c r="K22" s="76"/>
      <c r="L22" s="76"/>
      <c r="M22" s="76"/>
      <c r="N22" s="77"/>
    </row>
    <row r="23" spans="1:14" x14ac:dyDescent="0.2">
      <c r="A23" s="89"/>
      <c r="B23" s="76"/>
      <c r="C23" s="74" t="s">
        <v>164</v>
      </c>
      <c r="D23" s="76"/>
      <c r="E23" s="91" t="s">
        <v>531</v>
      </c>
      <c r="F23" s="76"/>
      <c r="G23" s="76"/>
      <c r="H23" s="76"/>
      <c r="I23" s="76"/>
      <c r="J23" s="76"/>
      <c r="K23" s="76"/>
      <c r="L23" s="76"/>
      <c r="M23" s="76"/>
      <c r="N23" s="77"/>
    </row>
    <row r="24" spans="1:14" x14ac:dyDescent="0.2">
      <c r="A24" s="89"/>
      <c r="B24" s="76"/>
      <c r="C24" s="257" t="s">
        <v>401</v>
      </c>
      <c r="D24" s="76"/>
      <c r="E24" s="277" t="s">
        <v>509</v>
      </c>
      <c r="F24" s="76"/>
      <c r="G24" s="76"/>
      <c r="H24" s="76"/>
      <c r="I24" s="76"/>
      <c r="J24" s="76"/>
      <c r="K24" s="76"/>
      <c r="L24" s="76"/>
      <c r="M24" s="76"/>
      <c r="N24" s="77"/>
    </row>
    <row r="25" spans="1:14" x14ac:dyDescent="0.2">
      <c r="A25" s="89"/>
      <c r="B25" s="76"/>
      <c r="C25" s="74" t="s">
        <v>73</v>
      </c>
      <c r="D25" s="76"/>
      <c r="E25" s="91" t="s">
        <v>508</v>
      </c>
      <c r="F25" s="76"/>
      <c r="G25" s="76"/>
      <c r="H25" s="76"/>
      <c r="I25" s="76"/>
      <c r="J25" s="76"/>
      <c r="K25" s="76"/>
      <c r="L25" s="76"/>
      <c r="M25" s="76"/>
      <c r="N25" s="77"/>
    </row>
    <row r="26" spans="1:14" x14ac:dyDescent="0.2">
      <c r="A26" s="89"/>
      <c r="B26" s="76"/>
      <c r="C26" s="74" t="s">
        <v>176</v>
      </c>
      <c r="D26" s="76"/>
      <c r="E26" s="91" t="s">
        <v>442</v>
      </c>
      <c r="F26" s="76"/>
      <c r="G26" s="76"/>
      <c r="H26" s="76"/>
      <c r="I26" s="76"/>
      <c r="J26" s="76"/>
      <c r="K26" s="76"/>
      <c r="L26" s="76"/>
      <c r="M26" s="76"/>
      <c r="N26" s="77"/>
    </row>
    <row r="27" spans="1:14" x14ac:dyDescent="0.2">
      <c r="A27" s="89"/>
      <c r="B27" s="76"/>
      <c r="C27" s="74" t="s">
        <v>387</v>
      </c>
      <c r="D27" s="76"/>
      <c r="E27" s="309" t="s">
        <v>371</v>
      </c>
      <c r="F27" s="76"/>
      <c r="G27" s="76"/>
      <c r="H27" s="76"/>
      <c r="I27" s="76"/>
      <c r="J27" s="76"/>
      <c r="K27" s="76"/>
      <c r="L27" s="76"/>
      <c r="M27" s="76"/>
      <c r="N27" s="77"/>
    </row>
    <row r="28" spans="1:14" x14ac:dyDescent="0.2">
      <c r="A28" s="89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7"/>
    </row>
    <row r="29" spans="1:14" ht="12.75" x14ac:dyDescent="0.2">
      <c r="A29" s="89"/>
      <c r="B29" s="104" t="s">
        <v>427</v>
      </c>
      <c r="C29" s="104"/>
      <c r="D29" s="104"/>
      <c r="E29" s="104"/>
      <c r="F29" s="104"/>
      <c r="G29" s="104"/>
      <c r="H29" s="104"/>
      <c r="I29" s="76"/>
      <c r="J29" s="76"/>
      <c r="K29" s="76"/>
      <c r="L29" s="76"/>
      <c r="M29" s="76"/>
      <c r="N29" s="77"/>
    </row>
    <row r="30" spans="1:14" ht="12" customHeight="1" x14ac:dyDescent="0.2">
      <c r="A30" s="89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76"/>
      <c r="N30" s="77"/>
    </row>
    <row r="31" spans="1:14" x14ac:dyDescent="0.2">
      <c r="A31" s="89"/>
      <c r="B31" s="281" t="s">
        <v>208</v>
      </c>
      <c r="C31" s="282"/>
      <c r="D31" s="282"/>
      <c r="E31" s="282"/>
      <c r="F31" s="282"/>
      <c r="G31" s="282"/>
      <c r="H31" s="282"/>
      <c r="I31" s="282"/>
      <c r="J31" s="283"/>
      <c r="K31" s="285"/>
      <c r="L31" s="285"/>
      <c r="M31" s="76"/>
      <c r="N31" s="77"/>
    </row>
    <row r="32" spans="1:14" x14ac:dyDescent="0.2">
      <c r="A32" s="89"/>
      <c r="B32" s="284" t="s">
        <v>165</v>
      </c>
      <c r="C32" s="285"/>
      <c r="D32" s="285"/>
      <c r="E32" s="285"/>
      <c r="F32" s="285"/>
      <c r="G32" s="285"/>
      <c r="H32" s="285"/>
      <c r="I32" s="285"/>
      <c r="J32" s="286"/>
      <c r="K32" s="285"/>
      <c r="L32" s="285"/>
      <c r="M32" s="76"/>
      <c r="N32" s="77"/>
    </row>
    <row r="33" spans="1:16384" x14ac:dyDescent="0.2">
      <c r="A33" s="89"/>
      <c r="B33" s="284" t="s">
        <v>166</v>
      </c>
      <c r="C33" s="285"/>
      <c r="D33" s="285"/>
      <c r="E33" s="285"/>
      <c r="F33" s="285"/>
      <c r="G33" s="285"/>
      <c r="H33" s="285"/>
      <c r="I33" s="285"/>
      <c r="J33" s="286"/>
      <c r="K33" s="285"/>
      <c r="L33" s="285"/>
      <c r="M33" s="76"/>
      <c r="N33" s="77"/>
    </row>
    <row r="34" spans="1:16384" x14ac:dyDescent="0.2">
      <c r="A34" s="89"/>
      <c r="B34" s="284" t="s">
        <v>167</v>
      </c>
      <c r="C34" s="285"/>
      <c r="D34" s="285"/>
      <c r="E34" s="285"/>
      <c r="F34" s="285"/>
      <c r="G34" s="285"/>
      <c r="H34" s="285"/>
      <c r="I34" s="285"/>
      <c r="J34" s="286"/>
      <c r="K34" s="285"/>
      <c r="L34" s="285"/>
      <c r="M34" s="76"/>
      <c r="N34" s="77"/>
    </row>
    <row r="35" spans="1:16384" x14ac:dyDescent="0.2">
      <c r="A35" s="89"/>
      <c r="B35" s="284" t="s">
        <v>426</v>
      </c>
      <c r="C35" s="285"/>
      <c r="D35" s="285"/>
      <c r="E35" s="285"/>
      <c r="F35" s="285"/>
      <c r="G35" s="285"/>
      <c r="H35" s="285"/>
      <c r="I35" s="285"/>
      <c r="J35" s="286"/>
      <c r="K35" s="285"/>
      <c r="L35" s="285"/>
      <c r="M35" s="76"/>
      <c r="N35" s="77"/>
    </row>
    <row r="36" spans="1:16384" x14ac:dyDescent="0.2">
      <c r="A36" s="89"/>
      <c r="B36" s="284" t="s">
        <v>439</v>
      </c>
      <c r="C36" s="285"/>
      <c r="D36" s="285"/>
      <c r="E36" s="285"/>
      <c r="F36" s="285"/>
      <c r="G36" s="285"/>
      <c r="H36" s="285"/>
      <c r="I36" s="285"/>
      <c r="J36" s="286"/>
      <c r="K36" s="285"/>
      <c r="L36" s="285"/>
      <c r="M36" s="76"/>
      <c r="N36" s="77"/>
    </row>
    <row r="37" spans="1:16384" x14ac:dyDescent="0.2">
      <c r="A37" s="89"/>
      <c r="B37" s="598" t="s">
        <v>520</v>
      </c>
      <c r="C37" s="599"/>
      <c r="D37" s="599"/>
      <c r="E37" s="599"/>
      <c r="F37" s="599"/>
      <c r="G37" s="599"/>
      <c r="H37" s="599"/>
      <c r="I37" s="599"/>
      <c r="J37" s="600"/>
      <c r="K37" s="76"/>
      <c r="L37" s="76"/>
      <c r="M37" s="76"/>
      <c r="N37" s="77"/>
    </row>
    <row r="38" spans="1:16384" x14ac:dyDescent="0.2">
      <c r="A38" s="89"/>
      <c r="B38" s="598" t="s">
        <v>519</v>
      </c>
      <c r="C38" s="599"/>
      <c r="D38" s="599"/>
      <c r="E38" s="599"/>
      <c r="F38" s="599"/>
      <c r="G38" s="599"/>
      <c r="H38" s="599"/>
      <c r="I38" s="599"/>
      <c r="J38" s="600"/>
      <c r="K38" s="76"/>
      <c r="L38" s="76"/>
      <c r="M38" s="76"/>
      <c r="N38" s="77"/>
    </row>
    <row r="39" spans="1:16384" x14ac:dyDescent="0.2">
      <c r="A39" s="89"/>
      <c r="B39" s="601" t="s">
        <v>521</v>
      </c>
      <c r="C39" s="602"/>
      <c r="D39" s="602"/>
      <c r="E39" s="602"/>
      <c r="F39" s="602"/>
      <c r="G39" s="602"/>
      <c r="H39" s="602"/>
      <c r="I39" s="602"/>
      <c r="J39" s="603"/>
      <c r="K39" s="76"/>
      <c r="L39" s="76"/>
      <c r="M39" s="76"/>
      <c r="N39" s="77"/>
    </row>
    <row r="40" spans="1:16384" x14ac:dyDescent="0.2">
      <c r="A40" s="89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7"/>
    </row>
    <row r="41" spans="1:16384" x14ac:dyDescent="0.2">
      <c r="A41" s="89"/>
      <c r="B41" s="98" t="s">
        <v>428</v>
      </c>
      <c r="C41" s="78"/>
      <c r="D41" s="78"/>
      <c r="E41" s="78"/>
      <c r="F41" s="78"/>
      <c r="G41" s="78"/>
      <c r="H41" s="78"/>
      <c r="I41" s="76"/>
      <c r="J41" s="76"/>
      <c r="K41" s="76"/>
      <c r="L41" s="76"/>
      <c r="M41" s="76"/>
      <c r="N41" s="77"/>
    </row>
    <row r="42" spans="1:16384" s="75" customFormat="1" x14ac:dyDescent="0.2">
      <c r="A42" s="170"/>
      <c r="B42" s="74" t="s">
        <v>177</v>
      </c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171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73"/>
      <c r="CG42" s="73"/>
      <c r="CH42" s="73"/>
      <c r="CI42" s="73"/>
      <c r="CJ42" s="73"/>
      <c r="CK42" s="73"/>
      <c r="CL42" s="73"/>
      <c r="CM42" s="73"/>
      <c r="CN42" s="73"/>
      <c r="CO42" s="73"/>
      <c r="CP42" s="73"/>
      <c r="CQ42" s="73"/>
      <c r="CR42" s="73"/>
      <c r="CS42" s="73"/>
      <c r="CT42" s="73"/>
      <c r="CU42" s="73"/>
      <c r="CV42" s="73"/>
      <c r="CW42" s="73"/>
      <c r="CX42" s="73"/>
      <c r="CY42" s="73"/>
      <c r="CZ42" s="73"/>
      <c r="DA42" s="73"/>
      <c r="DB42" s="73"/>
      <c r="DC42" s="73"/>
      <c r="DD42" s="73"/>
      <c r="DE42" s="73"/>
      <c r="DF42" s="73"/>
      <c r="DG42" s="73"/>
      <c r="DH42" s="73"/>
      <c r="DI42" s="73"/>
      <c r="DJ42" s="73"/>
      <c r="DK42" s="73"/>
      <c r="DL42" s="73"/>
      <c r="DM42" s="73"/>
      <c r="DN42" s="73"/>
      <c r="DO42" s="73"/>
      <c r="DP42" s="73"/>
      <c r="DQ42" s="73"/>
      <c r="DR42" s="73"/>
      <c r="DS42" s="73"/>
      <c r="DT42" s="73"/>
      <c r="DU42" s="73"/>
      <c r="DV42" s="73"/>
      <c r="DW42" s="73"/>
      <c r="DX42" s="73"/>
      <c r="DY42" s="73"/>
      <c r="DZ42" s="73"/>
      <c r="EA42" s="73"/>
      <c r="EB42" s="73"/>
      <c r="EC42" s="73"/>
      <c r="ED42" s="73"/>
      <c r="EE42" s="73"/>
      <c r="EF42" s="73"/>
      <c r="EG42" s="73"/>
      <c r="EH42" s="73"/>
      <c r="EI42" s="73"/>
      <c r="EJ42" s="73"/>
      <c r="EK42" s="73"/>
      <c r="EL42" s="73"/>
      <c r="EM42" s="73"/>
      <c r="EN42" s="73"/>
      <c r="EO42" s="73"/>
      <c r="EP42" s="73"/>
      <c r="EQ42" s="73"/>
      <c r="ER42" s="73"/>
      <c r="ES42" s="73"/>
      <c r="ET42" s="73"/>
      <c r="EU42" s="73"/>
      <c r="EV42" s="73"/>
      <c r="EW42" s="73"/>
      <c r="EX42" s="73"/>
      <c r="EY42" s="73"/>
      <c r="EZ42" s="73"/>
      <c r="FA42" s="73"/>
      <c r="FB42" s="73"/>
      <c r="FC42" s="73"/>
      <c r="FD42" s="73"/>
      <c r="FE42" s="73"/>
      <c r="FF42" s="73"/>
      <c r="FG42" s="73"/>
      <c r="FH42" s="73"/>
      <c r="FI42" s="73"/>
      <c r="FJ42" s="73"/>
      <c r="FK42" s="73"/>
      <c r="FL42" s="73"/>
      <c r="FM42" s="73"/>
      <c r="FN42" s="73"/>
      <c r="FO42" s="73"/>
      <c r="FP42" s="73"/>
      <c r="FQ42" s="73"/>
      <c r="FR42" s="73"/>
      <c r="FS42" s="73"/>
      <c r="FT42" s="73"/>
      <c r="FU42" s="73"/>
      <c r="FV42" s="73"/>
      <c r="FW42" s="73"/>
      <c r="FX42" s="73"/>
      <c r="FY42" s="73"/>
      <c r="FZ42" s="73"/>
      <c r="GA42" s="73"/>
      <c r="GB42" s="73"/>
      <c r="GC42" s="73"/>
      <c r="GD42" s="73"/>
      <c r="GE42" s="73"/>
      <c r="GF42" s="73"/>
      <c r="GG42" s="73"/>
      <c r="GH42" s="73"/>
      <c r="GI42" s="73"/>
      <c r="GJ42" s="73"/>
      <c r="GK42" s="73"/>
      <c r="GL42" s="73"/>
      <c r="GM42" s="73"/>
      <c r="GN42" s="73"/>
      <c r="GO42" s="73"/>
      <c r="GP42" s="73"/>
      <c r="GQ42" s="73"/>
      <c r="GR42" s="73"/>
      <c r="GS42" s="73"/>
      <c r="GT42" s="73"/>
      <c r="GU42" s="73"/>
      <c r="GV42" s="73"/>
      <c r="GW42" s="73"/>
      <c r="GX42" s="73"/>
      <c r="GY42" s="73"/>
      <c r="GZ42" s="73"/>
      <c r="HA42" s="73"/>
      <c r="HB42" s="73"/>
      <c r="HC42" s="73"/>
      <c r="HD42" s="73"/>
      <c r="HE42" s="73"/>
      <c r="HF42" s="73"/>
      <c r="HG42" s="73"/>
      <c r="HH42" s="73"/>
      <c r="HI42" s="73"/>
      <c r="HJ42" s="73"/>
      <c r="HK42" s="73"/>
      <c r="HL42" s="73"/>
      <c r="HM42" s="73"/>
      <c r="HN42" s="73"/>
      <c r="HO42" s="73"/>
      <c r="HP42" s="73"/>
      <c r="HQ42" s="73"/>
      <c r="HR42" s="73"/>
      <c r="HS42" s="73"/>
      <c r="HT42" s="73"/>
      <c r="HU42" s="73"/>
      <c r="HV42" s="73"/>
      <c r="HW42" s="73"/>
      <c r="HX42" s="73"/>
      <c r="HY42" s="73"/>
      <c r="HZ42" s="73"/>
      <c r="IA42" s="73"/>
      <c r="IB42" s="73"/>
      <c r="IC42" s="73"/>
      <c r="ID42" s="73"/>
      <c r="IE42" s="73"/>
      <c r="IF42" s="73"/>
      <c r="IG42" s="73"/>
      <c r="IH42" s="73"/>
      <c r="II42" s="73"/>
      <c r="IJ42" s="73"/>
      <c r="IK42" s="73"/>
      <c r="IL42" s="73"/>
      <c r="IM42" s="73"/>
      <c r="IN42" s="73"/>
      <c r="IO42" s="73"/>
      <c r="IP42" s="73"/>
      <c r="IQ42" s="73"/>
      <c r="IR42" s="73"/>
      <c r="IS42" s="73"/>
      <c r="IT42" s="73"/>
      <c r="IU42" s="73"/>
      <c r="IV42" s="73"/>
      <c r="IW42" s="73"/>
      <c r="IX42" s="73"/>
      <c r="IY42" s="73"/>
      <c r="IZ42" s="73"/>
      <c r="JA42" s="73"/>
      <c r="JB42" s="73"/>
      <c r="JC42" s="73"/>
      <c r="JD42" s="73"/>
      <c r="JE42" s="73"/>
      <c r="JF42" s="73"/>
      <c r="JG42" s="73"/>
      <c r="JH42" s="73"/>
      <c r="JI42" s="73"/>
      <c r="JJ42" s="73"/>
      <c r="JK42" s="73"/>
      <c r="JL42" s="73"/>
      <c r="JM42" s="73"/>
      <c r="JN42" s="73"/>
      <c r="JO42" s="73"/>
      <c r="JP42" s="73"/>
      <c r="JQ42" s="73"/>
      <c r="JR42" s="73"/>
      <c r="JS42" s="73"/>
      <c r="JT42" s="73"/>
      <c r="JU42" s="73"/>
      <c r="JV42" s="73"/>
      <c r="JW42" s="73"/>
      <c r="JX42" s="73"/>
      <c r="JY42" s="73"/>
      <c r="JZ42" s="73"/>
      <c r="KA42" s="73"/>
      <c r="KB42" s="73"/>
      <c r="KC42" s="73"/>
      <c r="KD42" s="73"/>
      <c r="KE42" s="73"/>
      <c r="KF42" s="73"/>
      <c r="KG42" s="73"/>
      <c r="KH42" s="73"/>
      <c r="KI42" s="73"/>
      <c r="KJ42" s="73"/>
      <c r="KK42" s="73"/>
      <c r="KL42" s="73"/>
      <c r="KM42" s="73"/>
      <c r="KN42" s="73"/>
      <c r="KO42" s="73"/>
      <c r="KP42" s="73"/>
      <c r="KQ42" s="73"/>
      <c r="KR42" s="73"/>
      <c r="KS42" s="73"/>
      <c r="KT42" s="73"/>
      <c r="KU42" s="73"/>
      <c r="KV42" s="73"/>
      <c r="KW42" s="73"/>
      <c r="KX42" s="73"/>
      <c r="KY42" s="73"/>
      <c r="KZ42" s="73"/>
      <c r="LA42" s="73"/>
      <c r="LB42" s="73"/>
      <c r="LC42" s="73"/>
      <c r="LD42" s="73"/>
      <c r="LE42" s="73"/>
      <c r="LF42" s="73"/>
      <c r="LG42" s="73"/>
      <c r="LH42" s="73"/>
      <c r="LI42" s="73"/>
      <c r="LJ42" s="73"/>
      <c r="LK42" s="73"/>
      <c r="LL42" s="73"/>
      <c r="LM42" s="73"/>
      <c r="LN42" s="73"/>
      <c r="LO42" s="73"/>
      <c r="LP42" s="73"/>
      <c r="LQ42" s="73"/>
      <c r="LR42" s="73"/>
      <c r="LS42" s="73"/>
      <c r="LT42" s="73"/>
      <c r="LU42" s="73"/>
      <c r="LV42" s="73"/>
      <c r="LW42" s="73"/>
      <c r="LX42" s="73"/>
      <c r="LY42" s="73"/>
      <c r="LZ42" s="73"/>
      <c r="MA42" s="73"/>
      <c r="MB42" s="73"/>
      <c r="MC42" s="73"/>
      <c r="MD42" s="73"/>
      <c r="ME42" s="73"/>
      <c r="MF42" s="73"/>
      <c r="MG42" s="73"/>
      <c r="MH42" s="73"/>
      <c r="MI42" s="73"/>
      <c r="MJ42" s="73"/>
      <c r="MK42" s="73"/>
      <c r="ML42" s="73"/>
      <c r="MM42" s="73"/>
      <c r="MN42" s="73"/>
      <c r="MO42" s="73"/>
      <c r="MP42" s="73"/>
      <c r="MQ42" s="73"/>
      <c r="MR42" s="73"/>
      <c r="MS42" s="73"/>
      <c r="MT42" s="73"/>
      <c r="MU42" s="73"/>
      <c r="MV42" s="73"/>
      <c r="MW42" s="73"/>
      <c r="MX42" s="73"/>
      <c r="MY42" s="73"/>
      <c r="MZ42" s="73"/>
      <c r="NA42" s="73"/>
      <c r="NB42" s="73"/>
      <c r="NC42" s="73"/>
      <c r="ND42" s="73"/>
      <c r="NE42" s="73"/>
      <c r="NF42" s="73"/>
      <c r="NG42" s="73"/>
      <c r="NH42" s="73"/>
      <c r="NI42" s="73"/>
      <c r="NJ42" s="73"/>
      <c r="NK42" s="73"/>
      <c r="NL42" s="73"/>
      <c r="NM42" s="73"/>
      <c r="NN42" s="73"/>
      <c r="NO42" s="73"/>
      <c r="NP42" s="73"/>
      <c r="NQ42" s="73"/>
      <c r="NR42" s="73"/>
      <c r="NS42" s="73"/>
      <c r="NT42" s="73"/>
      <c r="NU42" s="73"/>
      <c r="NV42" s="73"/>
      <c r="NW42" s="73"/>
      <c r="NX42" s="73"/>
      <c r="NY42" s="73"/>
      <c r="NZ42" s="73"/>
      <c r="OA42" s="73"/>
      <c r="OB42" s="73"/>
      <c r="OC42" s="73"/>
      <c r="OD42" s="73"/>
      <c r="OE42" s="73"/>
      <c r="OF42" s="73"/>
      <c r="OG42" s="73"/>
      <c r="OH42" s="73"/>
      <c r="OI42" s="73"/>
      <c r="OJ42" s="73"/>
      <c r="OK42" s="73"/>
      <c r="OL42" s="73"/>
      <c r="OM42" s="73"/>
      <c r="ON42" s="73"/>
      <c r="OO42" s="73"/>
      <c r="OP42" s="73"/>
      <c r="OQ42" s="73"/>
      <c r="OR42" s="73"/>
      <c r="OS42" s="73"/>
      <c r="OT42" s="73"/>
      <c r="OU42" s="73"/>
      <c r="OV42" s="73"/>
      <c r="OW42" s="73"/>
      <c r="OX42" s="73"/>
      <c r="OY42" s="73"/>
      <c r="OZ42" s="73"/>
      <c r="PA42" s="73"/>
      <c r="PB42" s="73"/>
      <c r="PC42" s="73"/>
      <c r="PD42" s="73"/>
      <c r="PE42" s="73"/>
      <c r="PF42" s="73"/>
      <c r="PG42" s="73"/>
      <c r="PH42" s="73"/>
      <c r="PI42" s="73"/>
      <c r="PJ42" s="73"/>
      <c r="PK42" s="73"/>
      <c r="PL42" s="73"/>
      <c r="PM42" s="73"/>
      <c r="PN42" s="73"/>
      <c r="PO42" s="73"/>
      <c r="PP42" s="73"/>
      <c r="PQ42" s="73"/>
      <c r="PR42" s="73"/>
      <c r="PS42" s="73"/>
      <c r="PT42" s="73"/>
      <c r="PU42" s="73"/>
      <c r="PV42" s="73"/>
      <c r="PW42" s="73"/>
      <c r="PX42" s="73"/>
      <c r="PY42" s="73"/>
      <c r="PZ42" s="73"/>
      <c r="QA42" s="73"/>
      <c r="QB42" s="73"/>
      <c r="QC42" s="73"/>
      <c r="QD42" s="73"/>
      <c r="QE42" s="73"/>
      <c r="QF42" s="73"/>
      <c r="QG42" s="73"/>
      <c r="QH42" s="73"/>
      <c r="QI42" s="73"/>
      <c r="QJ42" s="73"/>
      <c r="QK42" s="73"/>
      <c r="QL42" s="73"/>
      <c r="QM42" s="73"/>
      <c r="QN42" s="73"/>
      <c r="QO42" s="73"/>
      <c r="QP42" s="73"/>
      <c r="QQ42" s="73"/>
      <c r="QR42" s="73"/>
      <c r="QS42" s="73"/>
      <c r="QT42" s="73"/>
      <c r="QU42" s="73"/>
      <c r="QV42" s="73"/>
      <c r="QW42" s="73"/>
      <c r="QX42" s="73"/>
      <c r="QY42" s="73"/>
      <c r="QZ42" s="73"/>
      <c r="RA42" s="73"/>
      <c r="RB42" s="73"/>
      <c r="RC42" s="73"/>
      <c r="RD42" s="73"/>
      <c r="RE42" s="73"/>
      <c r="RF42" s="73"/>
      <c r="RG42" s="73"/>
      <c r="RH42" s="73"/>
      <c r="RI42" s="73"/>
      <c r="RJ42" s="73"/>
      <c r="RK42" s="73"/>
      <c r="RL42" s="73"/>
      <c r="RM42" s="73"/>
      <c r="RN42" s="73"/>
      <c r="RO42" s="73"/>
      <c r="RP42" s="73"/>
      <c r="RQ42" s="73"/>
      <c r="RR42" s="73"/>
      <c r="RS42" s="73"/>
      <c r="RT42" s="73"/>
      <c r="RU42" s="73"/>
      <c r="RV42" s="73"/>
      <c r="RW42" s="73"/>
      <c r="RX42" s="73"/>
      <c r="RY42" s="73"/>
      <c r="RZ42" s="73"/>
      <c r="SA42" s="73"/>
      <c r="SB42" s="73"/>
      <c r="SC42" s="73"/>
      <c r="SD42" s="73"/>
      <c r="SE42" s="73"/>
      <c r="SF42" s="73"/>
      <c r="SG42" s="73"/>
      <c r="SH42" s="73"/>
      <c r="SI42" s="73"/>
      <c r="SJ42" s="73"/>
      <c r="SK42" s="73"/>
      <c r="SL42" s="73"/>
      <c r="SM42" s="73"/>
      <c r="SN42" s="73"/>
      <c r="SO42" s="73"/>
      <c r="SP42" s="73"/>
      <c r="SQ42" s="73"/>
      <c r="SR42" s="73"/>
      <c r="SS42" s="73"/>
      <c r="ST42" s="73"/>
      <c r="SU42" s="73"/>
      <c r="SV42" s="73"/>
      <c r="SW42" s="73"/>
      <c r="SX42" s="73"/>
      <c r="SY42" s="73"/>
      <c r="SZ42" s="73"/>
      <c r="TA42" s="73"/>
      <c r="TB42" s="73"/>
      <c r="TC42" s="73"/>
      <c r="TD42" s="73"/>
      <c r="TE42" s="73"/>
      <c r="TF42" s="73"/>
      <c r="TG42" s="73"/>
      <c r="TH42" s="73"/>
      <c r="TI42" s="73"/>
      <c r="TJ42" s="73"/>
      <c r="TK42" s="73"/>
      <c r="TL42" s="73"/>
      <c r="TM42" s="73"/>
      <c r="TN42" s="73"/>
      <c r="TO42" s="73"/>
      <c r="TP42" s="73"/>
      <c r="TQ42" s="73"/>
      <c r="TR42" s="73"/>
      <c r="TS42" s="73"/>
      <c r="TT42" s="73"/>
      <c r="TU42" s="73"/>
      <c r="TV42" s="73"/>
      <c r="TW42" s="73"/>
      <c r="TX42" s="73"/>
      <c r="TY42" s="73"/>
      <c r="TZ42" s="73"/>
      <c r="UA42" s="73"/>
      <c r="UB42" s="73"/>
      <c r="UC42" s="73"/>
      <c r="UD42" s="73"/>
      <c r="UE42" s="73"/>
      <c r="UF42" s="73"/>
      <c r="UG42" s="73"/>
      <c r="UH42" s="73"/>
      <c r="UI42" s="73"/>
      <c r="UJ42" s="73"/>
      <c r="UK42" s="73"/>
      <c r="UL42" s="73"/>
      <c r="UM42" s="73"/>
      <c r="UN42" s="73"/>
      <c r="UO42" s="73"/>
      <c r="UP42" s="73"/>
      <c r="UQ42" s="73"/>
      <c r="UR42" s="73"/>
      <c r="US42" s="73"/>
      <c r="UT42" s="73"/>
      <c r="UU42" s="73"/>
      <c r="UV42" s="73"/>
      <c r="UW42" s="73"/>
      <c r="UX42" s="73"/>
      <c r="UY42" s="73"/>
      <c r="UZ42" s="73"/>
      <c r="VA42" s="73"/>
      <c r="VB42" s="73"/>
      <c r="VC42" s="73"/>
      <c r="VD42" s="73"/>
      <c r="VE42" s="73"/>
      <c r="VF42" s="73"/>
      <c r="VG42" s="73"/>
      <c r="VH42" s="73"/>
      <c r="VI42" s="73"/>
      <c r="VJ42" s="73"/>
      <c r="VK42" s="73"/>
      <c r="VL42" s="73"/>
      <c r="VM42" s="73"/>
      <c r="VN42" s="73"/>
      <c r="VO42" s="73"/>
      <c r="VP42" s="73"/>
      <c r="VQ42" s="73"/>
      <c r="VR42" s="73"/>
      <c r="VS42" s="73"/>
      <c r="VT42" s="73"/>
      <c r="VU42" s="73"/>
      <c r="VV42" s="73"/>
      <c r="VW42" s="73"/>
      <c r="VX42" s="73"/>
      <c r="VY42" s="73"/>
      <c r="VZ42" s="73"/>
      <c r="WA42" s="73"/>
      <c r="WB42" s="73"/>
      <c r="WC42" s="73"/>
      <c r="WD42" s="73"/>
      <c r="WE42" s="73"/>
      <c r="WF42" s="73"/>
      <c r="WG42" s="73"/>
      <c r="WH42" s="73"/>
      <c r="WI42" s="73"/>
      <c r="WJ42" s="73"/>
      <c r="WK42" s="73"/>
      <c r="WL42" s="73"/>
      <c r="WM42" s="73"/>
      <c r="WN42" s="73"/>
      <c r="WO42" s="73"/>
      <c r="WP42" s="73"/>
      <c r="WQ42" s="73"/>
      <c r="WR42" s="73"/>
      <c r="WS42" s="73"/>
      <c r="WT42" s="73"/>
      <c r="WU42" s="73"/>
      <c r="WV42" s="73"/>
      <c r="WW42" s="73"/>
      <c r="WX42" s="73"/>
      <c r="WY42" s="73"/>
      <c r="WZ42" s="73"/>
      <c r="XA42" s="73"/>
      <c r="XB42" s="73"/>
      <c r="XC42" s="73"/>
      <c r="XD42" s="73"/>
      <c r="XE42" s="73"/>
      <c r="XF42" s="73"/>
      <c r="XG42" s="73"/>
      <c r="XH42" s="73"/>
      <c r="XI42" s="73"/>
      <c r="XJ42" s="73"/>
      <c r="XK42" s="73"/>
      <c r="XL42" s="73"/>
      <c r="XM42" s="73"/>
      <c r="XN42" s="73"/>
      <c r="XO42" s="73"/>
      <c r="XP42" s="73"/>
      <c r="XQ42" s="73"/>
      <c r="XR42" s="73"/>
      <c r="XS42" s="73"/>
      <c r="XT42" s="73"/>
      <c r="XU42" s="73"/>
      <c r="XV42" s="73"/>
      <c r="XW42" s="73"/>
      <c r="XX42" s="73"/>
      <c r="XY42" s="73"/>
      <c r="XZ42" s="73"/>
      <c r="YA42" s="73"/>
      <c r="YB42" s="73"/>
      <c r="YC42" s="73"/>
      <c r="YD42" s="73"/>
      <c r="YE42" s="73"/>
      <c r="YF42" s="73"/>
      <c r="YG42" s="73"/>
      <c r="YH42" s="73"/>
      <c r="YI42" s="73"/>
      <c r="YJ42" s="73"/>
      <c r="YK42" s="73"/>
      <c r="YL42" s="73"/>
      <c r="YM42" s="73"/>
      <c r="YN42" s="73"/>
      <c r="YO42" s="73"/>
      <c r="YP42" s="73"/>
      <c r="YQ42" s="73"/>
      <c r="YR42" s="73"/>
      <c r="YS42" s="73"/>
      <c r="YT42" s="73"/>
      <c r="YU42" s="73"/>
      <c r="YV42" s="73"/>
      <c r="YW42" s="73"/>
      <c r="YX42" s="73"/>
      <c r="YY42" s="73"/>
      <c r="YZ42" s="73"/>
      <c r="ZA42" s="73"/>
      <c r="ZB42" s="73"/>
      <c r="ZC42" s="73"/>
      <c r="ZD42" s="73"/>
      <c r="ZE42" s="73"/>
      <c r="ZF42" s="73"/>
      <c r="ZG42" s="73"/>
      <c r="ZH42" s="73"/>
      <c r="ZI42" s="73"/>
      <c r="ZJ42" s="73"/>
      <c r="ZK42" s="73"/>
      <c r="ZL42" s="73"/>
      <c r="ZM42" s="73"/>
      <c r="ZN42" s="73"/>
      <c r="ZO42" s="73"/>
      <c r="ZP42" s="73"/>
      <c r="ZQ42" s="73"/>
      <c r="ZR42" s="73"/>
      <c r="ZS42" s="73"/>
      <c r="ZT42" s="73"/>
      <c r="ZU42" s="73"/>
      <c r="ZV42" s="73"/>
      <c r="ZW42" s="73"/>
      <c r="ZX42" s="73"/>
      <c r="ZY42" s="73"/>
      <c r="ZZ42" s="73"/>
      <c r="AAA42" s="73"/>
      <c r="AAB42" s="73"/>
      <c r="AAC42" s="73"/>
      <c r="AAD42" s="73"/>
      <c r="AAE42" s="73"/>
      <c r="AAF42" s="73"/>
      <c r="AAG42" s="73"/>
      <c r="AAH42" s="73"/>
      <c r="AAI42" s="73"/>
      <c r="AAJ42" s="73"/>
      <c r="AAK42" s="73"/>
      <c r="AAL42" s="73"/>
      <c r="AAM42" s="73"/>
      <c r="AAN42" s="73"/>
      <c r="AAO42" s="73"/>
      <c r="AAP42" s="73"/>
      <c r="AAQ42" s="73"/>
      <c r="AAR42" s="73"/>
      <c r="AAS42" s="73"/>
      <c r="AAT42" s="73"/>
      <c r="AAU42" s="73"/>
      <c r="AAV42" s="73"/>
      <c r="AAW42" s="73"/>
      <c r="AAX42" s="73"/>
      <c r="AAY42" s="73"/>
      <c r="AAZ42" s="73"/>
      <c r="ABA42" s="73"/>
      <c r="ABB42" s="73"/>
      <c r="ABC42" s="73"/>
      <c r="ABD42" s="73"/>
      <c r="ABE42" s="73"/>
      <c r="ABF42" s="73"/>
      <c r="ABG42" s="73"/>
      <c r="ABH42" s="73"/>
      <c r="ABI42" s="73"/>
      <c r="ABJ42" s="73"/>
      <c r="ABK42" s="73"/>
      <c r="ABL42" s="73"/>
      <c r="ABM42" s="73"/>
      <c r="ABN42" s="73"/>
      <c r="ABO42" s="73"/>
      <c r="ABP42" s="73"/>
      <c r="ABQ42" s="73"/>
      <c r="ABR42" s="73"/>
      <c r="ABS42" s="73"/>
      <c r="ABT42" s="73"/>
      <c r="ABU42" s="73"/>
      <c r="ABV42" s="73"/>
      <c r="ABW42" s="73"/>
      <c r="ABX42" s="73"/>
      <c r="ABY42" s="73"/>
      <c r="ABZ42" s="73"/>
      <c r="ACA42" s="73"/>
      <c r="ACB42" s="73"/>
      <c r="ACC42" s="73"/>
      <c r="ACD42" s="73"/>
      <c r="ACE42" s="73"/>
      <c r="ACF42" s="73"/>
      <c r="ACG42" s="73"/>
      <c r="ACH42" s="73"/>
      <c r="ACI42" s="73"/>
      <c r="ACJ42" s="73"/>
      <c r="ACK42" s="73"/>
      <c r="ACL42" s="73"/>
      <c r="ACM42" s="73"/>
      <c r="ACN42" s="73"/>
      <c r="ACO42" s="73"/>
      <c r="ACP42" s="73"/>
      <c r="ACQ42" s="73"/>
      <c r="ACR42" s="73"/>
      <c r="ACS42" s="73"/>
      <c r="ACT42" s="73"/>
      <c r="ACU42" s="73"/>
      <c r="ACV42" s="73"/>
      <c r="ACW42" s="73"/>
      <c r="ACX42" s="73"/>
      <c r="ACY42" s="73"/>
      <c r="ACZ42" s="73"/>
      <c r="ADA42" s="73"/>
      <c r="ADB42" s="73"/>
      <c r="ADC42" s="73"/>
      <c r="ADD42" s="73"/>
      <c r="ADE42" s="73"/>
      <c r="ADF42" s="73"/>
      <c r="ADG42" s="73"/>
      <c r="ADH42" s="73"/>
      <c r="ADI42" s="73"/>
      <c r="ADJ42" s="73"/>
      <c r="ADK42" s="73"/>
      <c r="ADL42" s="73"/>
      <c r="ADM42" s="73"/>
      <c r="ADN42" s="73"/>
      <c r="ADO42" s="73"/>
      <c r="ADP42" s="73"/>
      <c r="ADQ42" s="73"/>
      <c r="ADR42" s="73"/>
      <c r="ADS42" s="73"/>
      <c r="ADT42" s="73"/>
      <c r="ADU42" s="73"/>
      <c r="ADV42" s="73"/>
      <c r="ADW42" s="73"/>
      <c r="ADX42" s="73"/>
      <c r="ADY42" s="73"/>
      <c r="ADZ42" s="73"/>
      <c r="AEA42" s="73"/>
      <c r="AEB42" s="73"/>
      <c r="AEC42" s="73"/>
      <c r="AED42" s="73"/>
      <c r="AEE42" s="73"/>
      <c r="AEF42" s="73"/>
      <c r="AEG42" s="73"/>
      <c r="AEH42" s="73"/>
      <c r="AEI42" s="73"/>
      <c r="AEJ42" s="73"/>
      <c r="AEK42" s="73"/>
      <c r="AEL42" s="73"/>
      <c r="AEM42" s="73"/>
      <c r="AEN42" s="73"/>
      <c r="AEO42" s="73"/>
      <c r="AEP42" s="73"/>
      <c r="AEQ42" s="73"/>
      <c r="AER42" s="73"/>
      <c r="AES42" s="73"/>
      <c r="AET42" s="73"/>
      <c r="AEU42" s="73"/>
      <c r="AEV42" s="73"/>
      <c r="AEW42" s="73"/>
      <c r="AEX42" s="73"/>
      <c r="AEY42" s="73"/>
      <c r="AEZ42" s="73"/>
      <c r="AFA42" s="73"/>
      <c r="AFB42" s="73"/>
      <c r="AFC42" s="73"/>
      <c r="AFD42" s="73"/>
      <c r="AFE42" s="73"/>
      <c r="AFF42" s="73"/>
      <c r="AFG42" s="73"/>
      <c r="AFH42" s="73"/>
      <c r="AFI42" s="73"/>
      <c r="AFJ42" s="73"/>
      <c r="AFK42" s="73"/>
      <c r="AFL42" s="73"/>
      <c r="AFM42" s="73"/>
      <c r="AFN42" s="73"/>
      <c r="AFO42" s="73"/>
      <c r="AFP42" s="73"/>
      <c r="AFQ42" s="73"/>
      <c r="AFR42" s="73"/>
      <c r="AFS42" s="73"/>
      <c r="AFT42" s="73"/>
      <c r="AFU42" s="73"/>
      <c r="AFV42" s="73"/>
      <c r="AFW42" s="73"/>
      <c r="AFX42" s="73"/>
      <c r="AFY42" s="73"/>
      <c r="AFZ42" s="73"/>
      <c r="AGA42" s="73"/>
      <c r="AGB42" s="73"/>
      <c r="AGC42" s="73"/>
      <c r="AGD42" s="73"/>
      <c r="AGE42" s="73"/>
      <c r="AGF42" s="73"/>
      <c r="AGG42" s="73"/>
      <c r="AGH42" s="73"/>
      <c r="AGI42" s="73"/>
      <c r="AGJ42" s="73"/>
      <c r="AGK42" s="73"/>
      <c r="AGL42" s="73"/>
      <c r="AGM42" s="73"/>
      <c r="AGN42" s="73"/>
      <c r="AGO42" s="73"/>
      <c r="AGP42" s="73"/>
      <c r="AGQ42" s="73"/>
      <c r="AGR42" s="73"/>
      <c r="AGS42" s="73"/>
      <c r="AGT42" s="73"/>
      <c r="AGU42" s="73"/>
      <c r="AGV42" s="73"/>
      <c r="AGW42" s="73"/>
      <c r="AGX42" s="73"/>
      <c r="AGY42" s="73"/>
      <c r="AGZ42" s="73"/>
      <c r="AHA42" s="73"/>
      <c r="AHB42" s="73"/>
      <c r="AHC42" s="73"/>
      <c r="AHD42" s="73"/>
      <c r="AHE42" s="73"/>
      <c r="AHF42" s="73"/>
      <c r="AHG42" s="73"/>
      <c r="AHH42" s="73"/>
      <c r="AHI42" s="73"/>
      <c r="AHJ42" s="73"/>
      <c r="AHK42" s="73"/>
      <c r="AHL42" s="73"/>
      <c r="AHM42" s="73"/>
      <c r="AHN42" s="73"/>
      <c r="AHO42" s="73"/>
      <c r="AHP42" s="73"/>
      <c r="AHQ42" s="73"/>
      <c r="AHR42" s="73"/>
      <c r="AHS42" s="73"/>
      <c r="AHT42" s="73"/>
      <c r="AHU42" s="73"/>
      <c r="AHV42" s="73"/>
      <c r="AHW42" s="73"/>
      <c r="AHX42" s="73"/>
      <c r="AHY42" s="73"/>
      <c r="AHZ42" s="73"/>
      <c r="AIA42" s="73"/>
      <c r="AIB42" s="73"/>
      <c r="AIC42" s="73"/>
      <c r="AID42" s="73"/>
      <c r="AIE42" s="73"/>
      <c r="AIF42" s="73"/>
      <c r="AIG42" s="73"/>
      <c r="AIH42" s="73"/>
      <c r="AII42" s="73"/>
      <c r="AIJ42" s="73"/>
      <c r="AIK42" s="73"/>
      <c r="AIL42" s="73"/>
      <c r="AIM42" s="73"/>
      <c r="AIN42" s="73"/>
      <c r="AIO42" s="73"/>
      <c r="AIP42" s="73"/>
      <c r="AIQ42" s="73"/>
      <c r="AIR42" s="73"/>
      <c r="AIS42" s="73"/>
      <c r="AIT42" s="73"/>
      <c r="AIU42" s="73"/>
      <c r="AIV42" s="73"/>
      <c r="AIW42" s="73"/>
      <c r="AIX42" s="73"/>
      <c r="AIY42" s="73"/>
      <c r="AIZ42" s="73"/>
      <c r="AJA42" s="73"/>
      <c r="AJB42" s="73"/>
      <c r="AJC42" s="73"/>
      <c r="AJD42" s="73"/>
      <c r="AJE42" s="73"/>
      <c r="AJF42" s="73"/>
      <c r="AJG42" s="73"/>
      <c r="AJH42" s="73"/>
      <c r="AJI42" s="73"/>
      <c r="AJJ42" s="73"/>
      <c r="AJK42" s="73"/>
      <c r="AJL42" s="73"/>
      <c r="AJM42" s="73"/>
      <c r="AJN42" s="73"/>
      <c r="AJO42" s="73"/>
      <c r="AJP42" s="73"/>
      <c r="AJQ42" s="73"/>
      <c r="AJR42" s="73"/>
      <c r="AJS42" s="73"/>
      <c r="AJT42" s="73"/>
      <c r="AJU42" s="73"/>
      <c r="AJV42" s="73"/>
      <c r="AJW42" s="73"/>
      <c r="AJX42" s="73"/>
      <c r="AJY42" s="73"/>
      <c r="AJZ42" s="73"/>
      <c r="AKA42" s="73"/>
      <c r="AKB42" s="73"/>
      <c r="AKC42" s="73"/>
      <c r="AKD42" s="73"/>
      <c r="AKE42" s="73"/>
      <c r="AKF42" s="73"/>
      <c r="AKG42" s="73"/>
      <c r="AKH42" s="73"/>
      <c r="AKI42" s="73"/>
      <c r="AKJ42" s="73"/>
      <c r="AKK42" s="73"/>
      <c r="AKL42" s="73"/>
      <c r="AKM42" s="73"/>
      <c r="AKN42" s="73"/>
      <c r="AKO42" s="73"/>
      <c r="AKP42" s="73"/>
      <c r="AKQ42" s="73"/>
      <c r="AKR42" s="73"/>
      <c r="AKS42" s="73"/>
      <c r="AKT42" s="73"/>
      <c r="AKU42" s="73"/>
      <c r="AKV42" s="73"/>
      <c r="AKW42" s="73"/>
      <c r="AKX42" s="73"/>
      <c r="AKY42" s="73"/>
      <c r="AKZ42" s="73"/>
      <c r="ALA42" s="73"/>
      <c r="ALB42" s="73"/>
      <c r="ALC42" s="73"/>
      <c r="ALD42" s="73"/>
      <c r="ALE42" s="73"/>
      <c r="ALF42" s="73"/>
      <c r="ALG42" s="73"/>
      <c r="ALH42" s="73"/>
      <c r="ALI42" s="73"/>
      <c r="ALJ42" s="73"/>
      <c r="ALK42" s="73"/>
      <c r="ALL42" s="73"/>
      <c r="ALM42" s="73"/>
      <c r="ALN42" s="73"/>
      <c r="ALO42" s="73"/>
      <c r="ALP42" s="73"/>
      <c r="ALQ42" s="73"/>
      <c r="ALR42" s="73"/>
      <c r="ALS42" s="73"/>
      <c r="ALT42" s="73"/>
      <c r="ALU42" s="73"/>
      <c r="ALV42" s="73"/>
      <c r="ALW42" s="73"/>
      <c r="ALX42" s="73"/>
      <c r="ALY42" s="73"/>
      <c r="ALZ42" s="73"/>
      <c r="AMA42" s="73"/>
      <c r="AMB42" s="73"/>
      <c r="AMC42" s="73"/>
      <c r="AMD42" s="73"/>
      <c r="AME42" s="73"/>
      <c r="AMF42" s="73"/>
      <c r="AMG42" s="73"/>
      <c r="AMH42" s="73"/>
      <c r="AMI42" s="73"/>
      <c r="AMJ42" s="73"/>
      <c r="AMK42" s="73"/>
      <c r="AML42" s="73"/>
      <c r="AMM42" s="73"/>
      <c r="AMN42" s="73"/>
      <c r="AMO42" s="73"/>
      <c r="AMP42" s="73"/>
      <c r="AMQ42" s="73"/>
      <c r="AMR42" s="73"/>
      <c r="AMS42" s="73"/>
      <c r="AMT42" s="73"/>
      <c r="AMU42" s="73"/>
      <c r="AMV42" s="73"/>
      <c r="AMW42" s="73"/>
      <c r="AMX42" s="73"/>
      <c r="AMY42" s="73"/>
      <c r="AMZ42" s="73"/>
      <c r="ANA42" s="73"/>
      <c r="ANB42" s="73"/>
      <c r="ANC42" s="73"/>
      <c r="AND42" s="73"/>
      <c r="ANE42" s="73"/>
      <c r="ANF42" s="73"/>
      <c r="ANG42" s="73"/>
      <c r="ANH42" s="73"/>
      <c r="ANI42" s="73"/>
      <c r="ANJ42" s="73"/>
      <c r="ANK42" s="73"/>
      <c r="ANL42" s="73"/>
      <c r="ANM42" s="73"/>
      <c r="ANN42" s="73"/>
      <c r="ANO42" s="73"/>
      <c r="ANP42" s="73"/>
      <c r="ANQ42" s="73"/>
      <c r="ANR42" s="73"/>
      <c r="ANS42" s="73"/>
      <c r="ANT42" s="73"/>
      <c r="ANU42" s="73"/>
      <c r="ANV42" s="73"/>
      <c r="ANW42" s="73"/>
      <c r="ANX42" s="73"/>
      <c r="ANY42" s="73"/>
      <c r="ANZ42" s="73"/>
      <c r="AOA42" s="73"/>
      <c r="AOB42" s="73"/>
      <c r="AOC42" s="73"/>
      <c r="AOD42" s="73"/>
      <c r="AOE42" s="73"/>
      <c r="AOF42" s="73"/>
      <c r="AOG42" s="73"/>
      <c r="AOH42" s="73"/>
      <c r="AOI42" s="73"/>
      <c r="AOJ42" s="73"/>
      <c r="AOK42" s="73"/>
      <c r="AOL42" s="73"/>
      <c r="AOM42" s="73"/>
      <c r="AON42" s="73"/>
      <c r="AOO42" s="73"/>
      <c r="AOP42" s="73"/>
      <c r="AOQ42" s="73"/>
      <c r="AOR42" s="73"/>
      <c r="AOS42" s="73"/>
      <c r="AOT42" s="73"/>
      <c r="AOU42" s="73"/>
      <c r="AOV42" s="73"/>
      <c r="AOW42" s="73"/>
      <c r="AOX42" s="73"/>
      <c r="AOY42" s="73"/>
      <c r="AOZ42" s="73"/>
      <c r="APA42" s="73"/>
      <c r="APB42" s="73"/>
      <c r="APC42" s="73"/>
      <c r="APD42" s="73"/>
      <c r="APE42" s="73"/>
      <c r="APF42" s="73"/>
      <c r="APG42" s="73"/>
      <c r="APH42" s="73"/>
      <c r="API42" s="73"/>
      <c r="APJ42" s="73"/>
      <c r="APK42" s="73"/>
      <c r="APL42" s="73"/>
      <c r="APM42" s="73"/>
      <c r="APN42" s="73"/>
      <c r="APO42" s="73"/>
      <c r="APP42" s="73"/>
      <c r="APQ42" s="73"/>
      <c r="APR42" s="73"/>
      <c r="APS42" s="73"/>
      <c r="APT42" s="73"/>
      <c r="APU42" s="73"/>
      <c r="APV42" s="73"/>
      <c r="APW42" s="73"/>
      <c r="APX42" s="73"/>
      <c r="APY42" s="73"/>
      <c r="APZ42" s="73"/>
      <c r="AQA42" s="73"/>
      <c r="AQB42" s="73"/>
      <c r="AQC42" s="73"/>
      <c r="AQD42" s="73"/>
      <c r="AQE42" s="73"/>
      <c r="AQF42" s="73"/>
      <c r="AQG42" s="73"/>
      <c r="AQH42" s="73"/>
      <c r="AQI42" s="73"/>
      <c r="AQJ42" s="73"/>
      <c r="AQK42" s="73"/>
      <c r="AQL42" s="73"/>
      <c r="AQM42" s="73"/>
      <c r="AQN42" s="73"/>
      <c r="AQO42" s="73"/>
      <c r="AQP42" s="73"/>
      <c r="AQQ42" s="73"/>
      <c r="AQR42" s="73"/>
      <c r="AQS42" s="73"/>
      <c r="AQT42" s="73"/>
      <c r="AQU42" s="73"/>
      <c r="AQV42" s="73"/>
      <c r="AQW42" s="73"/>
      <c r="AQX42" s="73"/>
      <c r="AQY42" s="73"/>
      <c r="AQZ42" s="73"/>
      <c r="ARA42" s="73"/>
      <c r="ARB42" s="73"/>
      <c r="ARC42" s="73"/>
      <c r="ARD42" s="73"/>
      <c r="ARE42" s="73"/>
      <c r="ARF42" s="73"/>
      <c r="ARG42" s="73"/>
      <c r="ARH42" s="73"/>
      <c r="ARI42" s="73"/>
      <c r="ARJ42" s="73"/>
      <c r="ARK42" s="73"/>
      <c r="ARL42" s="73"/>
      <c r="ARM42" s="73"/>
      <c r="ARN42" s="73"/>
      <c r="ARO42" s="73"/>
      <c r="ARP42" s="73"/>
      <c r="ARQ42" s="73"/>
      <c r="ARR42" s="73"/>
      <c r="ARS42" s="73"/>
      <c r="ART42" s="73"/>
      <c r="ARU42" s="73"/>
      <c r="ARV42" s="73"/>
      <c r="ARW42" s="73"/>
      <c r="ARX42" s="73"/>
      <c r="ARY42" s="73"/>
      <c r="ARZ42" s="73"/>
      <c r="ASA42" s="73"/>
      <c r="ASB42" s="73"/>
      <c r="ASC42" s="73"/>
      <c r="ASD42" s="73"/>
      <c r="ASE42" s="73"/>
      <c r="ASF42" s="73"/>
      <c r="ASG42" s="73"/>
      <c r="ASH42" s="73"/>
      <c r="ASI42" s="73"/>
      <c r="ASJ42" s="73"/>
      <c r="ASK42" s="73"/>
      <c r="ASL42" s="73"/>
      <c r="ASM42" s="73"/>
      <c r="ASN42" s="73"/>
      <c r="ASO42" s="73"/>
      <c r="ASP42" s="73"/>
      <c r="ASQ42" s="73"/>
      <c r="ASR42" s="73"/>
      <c r="ASS42" s="73"/>
      <c r="AST42" s="73"/>
      <c r="ASU42" s="73"/>
      <c r="ASV42" s="73"/>
      <c r="ASW42" s="73"/>
      <c r="ASX42" s="73"/>
      <c r="ASY42" s="73"/>
      <c r="ASZ42" s="73"/>
      <c r="ATA42" s="73"/>
      <c r="ATB42" s="73"/>
      <c r="ATC42" s="73"/>
      <c r="ATD42" s="73"/>
      <c r="ATE42" s="73"/>
      <c r="ATF42" s="73"/>
      <c r="ATG42" s="73"/>
      <c r="ATH42" s="73"/>
      <c r="ATI42" s="73"/>
      <c r="ATJ42" s="73"/>
      <c r="ATK42" s="73"/>
      <c r="ATL42" s="73"/>
      <c r="ATM42" s="73"/>
      <c r="ATN42" s="73"/>
      <c r="ATO42" s="73"/>
      <c r="ATP42" s="73"/>
      <c r="ATQ42" s="73"/>
      <c r="ATR42" s="73"/>
      <c r="ATS42" s="73"/>
      <c r="ATT42" s="73"/>
      <c r="ATU42" s="73"/>
      <c r="ATV42" s="73"/>
      <c r="ATW42" s="73"/>
      <c r="ATX42" s="73"/>
      <c r="ATY42" s="73"/>
      <c r="ATZ42" s="73"/>
      <c r="AUA42" s="73"/>
      <c r="AUB42" s="73"/>
      <c r="AUC42" s="73"/>
      <c r="AUD42" s="73"/>
      <c r="AUE42" s="73"/>
      <c r="AUF42" s="73"/>
      <c r="AUG42" s="73"/>
      <c r="AUH42" s="73"/>
      <c r="AUI42" s="73"/>
      <c r="AUJ42" s="73"/>
      <c r="AUK42" s="73"/>
      <c r="AUL42" s="73"/>
      <c r="AUM42" s="73"/>
      <c r="AUN42" s="73"/>
      <c r="AUO42" s="73"/>
      <c r="AUP42" s="73"/>
      <c r="AUQ42" s="73"/>
      <c r="AUR42" s="73"/>
      <c r="AUS42" s="73"/>
      <c r="AUT42" s="73"/>
      <c r="AUU42" s="73"/>
      <c r="AUV42" s="73"/>
      <c r="AUW42" s="73"/>
      <c r="AUX42" s="73"/>
      <c r="AUY42" s="73"/>
      <c r="AUZ42" s="73"/>
      <c r="AVA42" s="73"/>
      <c r="AVB42" s="73"/>
      <c r="AVC42" s="73"/>
      <c r="AVD42" s="73"/>
      <c r="AVE42" s="73"/>
      <c r="AVF42" s="73"/>
      <c r="AVG42" s="73"/>
      <c r="AVH42" s="73"/>
      <c r="AVI42" s="73"/>
      <c r="AVJ42" s="73"/>
      <c r="AVK42" s="73"/>
      <c r="AVL42" s="73"/>
      <c r="AVM42" s="73"/>
      <c r="AVN42" s="73"/>
      <c r="AVO42" s="73"/>
      <c r="AVP42" s="73"/>
      <c r="AVQ42" s="73"/>
      <c r="AVR42" s="73"/>
      <c r="AVS42" s="73"/>
      <c r="AVT42" s="73"/>
      <c r="AVU42" s="73"/>
      <c r="AVV42" s="73"/>
      <c r="AVW42" s="73"/>
      <c r="AVX42" s="73"/>
      <c r="AVY42" s="73"/>
      <c r="AVZ42" s="73"/>
      <c r="AWA42" s="73"/>
      <c r="AWB42" s="73"/>
      <c r="AWC42" s="73"/>
      <c r="AWD42" s="73"/>
      <c r="AWE42" s="73"/>
      <c r="AWF42" s="73"/>
      <c r="AWG42" s="73"/>
      <c r="AWH42" s="73"/>
      <c r="AWI42" s="73"/>
      <c r="AWJ42" s="73"/>
      <c r="AWK42" s="73"/>
      <c r="AWL42" s="73"/>
      <c r="AWM42" s="73"/>
      <c r="AWN42" s="73"/>
      <c r="AWO42" s="73"/>
      <c r="AWP42" s="73"/>
      <c r="AWQ42" s="73"/>
      <c r="AWR42" s="73"/>
      <c r="AWS42" s="73"/>
      <c r="AWT42" s="73"/>
      <c r="AWU42" s="73"/>
      <c r="AWV42" s="73"/>
      <c r="AWW42" s="73"/>
      <c r="AWX42" s="73"/>
      <c r="AWY42" s="73"/>
      <c r="AWZ42" s="73"/>
      <c r="AXA42" s="73"/>
      <c r="AXB42" s="73"/>
      <c r="AXC42" s="73"/>
      <c r="AXD42" s="73"/>
      <c r="AXE42" s="73"/>
      <c r="AXF42" s="73"/>
      <c r="AXG42" s="73"/>
      <c r="AXH42" s="73"/>
      <c r="AXI42" s="73"/>
      <c r="AXJ42" s="73"/>
      <c r="AXK42" s="73"/>
      <c r="AXL42" s="73"/>
      <c r="AXM42" s="73"/>
      <c r="AXN42" s="73"/>
      <c r="AXO42" s="73"/>
      <c r="AXP42" s="73"/>
      <c r="AXQ42" s="73"/>
      <c r="AXR42" s="73"/>
      <c r="AXS42" s="73"/>
      <c r="AXT42" s="73"/>
      <c r="AXU42" s="73"/>
      <c r="AXV42" s="73"/>
      <c r="AXW42" s="73"/>
      <c r="AXX42" s="73"/>
      <c r="AXY42" s="73"/>
      <c r="AXZ42" s="73"/>
      <c r="AYA42" s="73"/>
      <c r="AYB42" s="73"/>
      <c r="AYC42" s="73"/>
      <c r="AYD42" s="73"/>
      <c r="AYE42" s="73"/>
      <c r="AYF42" s="73"/>
      <c r="AYG42" s="73"/>
      <c r="AYH42" s="73"/>
      <c r="AYI42" s="73"/>
      <c r="AYJ42" s="73"/>
      <c r="AYK42" s="73"/>
      <c r="AYL42" s="73"/>
      <c r="AYM42" s="73"/>
      <c r="AYN42" s="73"/>
      <c r="AYO42" s="73"/>
      <c r="AYP42" s="73"/>
      <c r="AYQ42" s="73"/>
      <c r="AYR42" s="73"/>
      <c r="AYS42" s="73"/>
      <c r="AYT42" s="73"/>
      <c r="AYU42" s="73"/>
      <c r="AYV42" s="73"/>
      <c r="AYW42" s="73"/>
      <c r="AYX42" s="73"/>
      <c r="AYY42" s="73"/>
      <c r="AYZ42" s="73"/>
      <c r="AZA42" s="73"/>
      <c r="AZB42" s="73"/>
      <c r="AZC42" s="73"/>
      <c r="AZD42" s="73"/>
      <c r="AZE42" s="73"/>
      <c r="AZF42" s="73"/>
      <c r="AZG42" s="73"/>
      <c r="AZH42" s="73"/>
      <c r="AZI42" s="73"/>
      <c r="AZJ42" s="73"/>
      <c r="AZK42" s="73"/>
      <c r="AZL42" s="73"/>
      <c r="AZM42" s="73"/>
      <c r="AZN42" s="73"/>
      <c r="AZO42" s="73"/>
      <c r="AZP42" s="73"/>
      <c r="AZQ42" s="73"/>
      <c r="AZR42" s="73"/>
      <c r="AZS42" s="73"/>
      <c r="AZT42" s="73"/>
      <c r="AZU42" s="73"/>
      <c r="AZV42" s="73"/>
      <c r="AZW42" s="73"/>
      <c r="AZX42" s="73"/>
      <c r="AZY42" s="73"/>
      <c r="AZZ42" s="73"/>
      <c r="BAA42" s="73"/>
      <c r="BAB42" s="73"/>
      <c r="BAC42" s="73"/>
      <c r="BAD42" s="73"/>
      <c r="BAE42" s="73"/>
      <c r="BAF42" s="73"/>
      <c r="BAG42" s="73"/>
      <c r="BAH42" s="73"/>
      <c r="BAI42" s="73"/>
      <c r="BAJ42" s="73"/>
      <c r="BAK42" s="73"/>
      <c r="BAL42" s="73"/>
      <c r="BAM42" s="73"/>
      <c r="BAN42" s="73"/>
      <c r="BAO42" s="73"/>
      <c r="BAP42" s="73"/>
      <c r="BAQ42" s="73"/>
      <c r="BAR42" s="73"/>
      <c r="BAS42" s="73"/>
      <c r="BAT42" s="73"/>
      <c r="BAU42" s="73"/>
      <c r="BAV42" s="73"/>
      <c r="BAW42" s="73"/>
      <c r="BAX42" s="73"/>
      <c r="BAY42" s="73"/>
      <c r="BAZ42" s="73"/>
      <c r="BBA42" s="73"/>
      <c r="BBB42" s="73"/>
      <c r="BBC42" s="73"/>
      <c r="BBD42" s="73"/>
      <c r="BBE42" s="73"/>
      <c r="BBF42" s="73"/>
      <c r="BBG42" s="73"/>
      <c r="BBH42" s="73"/>
      <c r="BBI42" s="73"/>
      <c r="BBJ42" s="73"/>
      <c r="BBK42" s="73"/>
      <c r="BBL42" s="73"/>
      <c r="BBM42" s="73"/>
      <c r="BBN42" s="73"/>
      <c r="BBO42" s="73"/>
      <c r="BBP42" s="73"/>
      <c r="BBQ42" s="73"/>
      <c r="BBR42" s="73"/>
      <c r="BBS42" s="73"/>
      <c r="BBT42" s="73"/>
      <c r="BBU42" s="73"/>
      <c r="BBV42" s="73"/>
      <c r="BBW42" s="73"/>
      <c r="BBX42" s="73"/>
      <c r="BBY42" s="73"/>
      <c r="BBZ42" s="73"/>
      <c r="BCA42" s="73"/>
      <c r="BCB42" s="73"/>
      <c r="BCC42" s="73"/>
      <c r="BCD42" s="73"/>
      <c r="BCE42" s="73"/>
      <c r="BCF42" s="73"/>
      <c r="BCG42" s="73"/>
      <c r="BCH42" s="73"/>
      <c r="BCI42" s="73"/>
      <c r="BCJ42" s="73"/>
      <c r="BCK42" s="73"/>
      <c r="BCL42" s="73"/>
      <c r="BCM42" s="73"/>
      <c r="BCN42" s="73"/>
      <c r="BCO42" s="73"/>
      <c r="BCP42" s="73"/>
      <c r="BCQ42" s="73"/>
      <c r="BCR42" s="73"/>
      <c r="BCS42" s="73"/>
      <c r="BCT42" s="73"/>
      <c r="BCU42" s="73"/>
      <c r="BCV42" s="73"/>
      <c r="BCW42" s="73"/>
      <c r="BCX42" s="73"/>
      <c r="BCY42" s="73"/>
      <c r="BCZ42" s="73"/>
      <c r="BDA42" s="73"/>
      <c r="BDB42" s="73"/>
      <c r="BDC42" s="73"/>
      <c r="BDD42" s="73"/>
      <c r="BDE42" s="73"/>
      <c r="BDF42" s="73"/>
      <c r="BDG42" s="73"/>
      <c r="BDH42" s="73"/>
      <c r="BDI42" s="73"/>
      <c r="BDJ42" s="73"/>
      <c r="BDK42" s="73"/>
      <c r="BDL42" s="73"/>
      <c r="BDM42" s="73"/>
      <c r="BDN42" s="73"/>
      <c r="BDO42" s="73"/>
      <c r="BDP42" s="73"/>
      <c r="BDQ42" s="73"/>
      <c r="BDR42" s="73"/>
      <c r="BDS42" s="73"/>
      <c r="BDT42" s="73"/>
      <c r="BDU42" s="73"/>
      <c r="BDV42" s="73"/>
      <c r="BDW42" s="73"/>
      <c r="BDX42" s="73"/>
      <c r="BDY42" s="73"/>
      <c r="BDZ42" s="73"/>
      <c r="BEA42" s="73"/>
      <c r="BEB42" s="73"/>
      <c r="BEC42" s="73"/>
      <c r="BED42" s="73"/>
      <c r="BEE42" s="73"/>
      <c r="BEF42" s="73"/>
      <c r="BEG42" s="73"/>
      <c r="BEH42" s="73"/>
      <c r="BEI42" s="73"/>
      <c r="BEJ42" s="73"/>
      <c r="BEK42" s="73"/>
      <c r="BEL42" s="73"/>
      <c r="BEM42" s="73"/>
      <c r="BEN42" s="73"/>
      <c r="BEO42" s="73"/>
      <c r="BEP42" s="73"/>
      <c r="BEQ42" s="73"/>
      <c r="BER42" s="73"/>
      <c r="BES42" s="73"/>
      <c r="BET42" s="73"/>
      <c r="BEU42" s="73"/>
      <c r="BEV42" s="73"/>
      <c r="BEW42" s="73"/>
      <c r="BEX42" s="73"/>
      <c r="BEY42" s="73"/>
      <c r="BEZ42" s="73"/>
      <c r="BFA42" s="73"/>
      <c r="BFB42" s="73"/>
      <c r="BFC42" s="73"/>
      <c r="BFD42" s="73"/>
      <c r="BFE42" s="73"/>
      <c r="BFF42" s="73"/>
      <c r="BFG42" s="73"/>
      <c r="BFH42" s="73"/>
      <c r="BFI42" s="73"/>
      <c r="BFJ42" s="73"/>
      <c r="BFK42" s="73"/>
      <c r="BFL42" s="73"/>
      <c r="BFM42" s="73"/>
      <c r="BFN42" s="73"/>
      <c r="BFO42" s="73"/>
      <c r="BFP42" s="73"/>
      <c r="BFQ42" s="73"/>
      <c r="BFR42" s="73"/>
      <c r="BFS42" s="73"/>
      <c r="BFT42" s="73"/>
      <c r="BFU42" s="73"/>
      <c r="BFV42" s="73"/>
      <c r="BFW42" s="73"/>
      <c r="BFX42" s="73"/>
      <c r="BFY42" s="73"/>
      <c r="BFZ42" s="73"/>
      <c r="BGA42" s="73"/>
      <c r="BGB42" s="73"/>
      <c r="BGC42" s="73"/>
      <c r="BGD42" s="73"/>
      <c r="BGE42" s="73"/>
      <c r="BGF42" s="73"/>
      <c r="BGG42" s="73"/>
      <c r="BGH42" s="73"/>
      <c r="BGI42" s="73"/>
      <c r="BGJ42" s="73"/>
      <c r="BGK42" s="73"/>
      <c r="BGL42" s="73"/>
      <c r="BGM42" s="73"/>
      <c r="BGN42" s="73"/>
      <c r="BGO42" s="73"/>
      <c r="BGP42" s="73"/>
      <c r="BGQ42" s="73"/>
      <c r="BGR42" s="73"/>
      <c r="BGS42" s="73"/>
      <c r="BGT42" s="73"/>
      <c r="BGU42" s="73"/>
      <c r="BGV42" s="73"/>
      <c r="BGW42" s="73"/>
      <c r="BGX42" s="73"/>
      <c r="BGY42" s="73"/>
      <c r="BGZ42" s="73"/>
      <c r="BHA42" s="73"/>
      <c r="BHB42" s="73"/>
      <c r="BHC42" s="73"/>
      <c r="BHD42" s="73"/>
      <c r="BHE42" s="73"/>
      <c r="BHF42" s="73"/>
      <c r="BHG42" s="73"/>
      <c r="BHH42" s="73"/>
      <c r="BHI42" s="73"/>
      <c r="BHJ42" s="73"/>
      <c r="BHK42" s="73"/>
      <c r="BHL42" s="73"/>
      <c r="BHM42" s="73"/>
      <c r="BHN42" s="73"/>
      <c r="BHO42" s="73"/>
      <c r="BHP42" s="73"/>
      <c r="BHQ42" s="73"/>
      <c r="BHR42" s="73"/>
      <c r="BHS42" s="73"/>
      <c r="BHT42" s="73"/>
      <c r="BHU42" s="73"/>
      <c r="BHV42" s="73"/>
      <c r="BHW42" s="73"/>
      <c r="BHX42" s="73"/>
      <c r="BHY42" s="73"/>
      <c r="BHZ42" s="73"/>
      <c r="BIA42" s="73"/>
      <c r="BIB42" s="73"/>
      <c r="BIC42" s="73"/>
      <c r="BID42" s="73"/>
      <c r="BIE42" s="73"/>
      <c r="BIF42" s="73"/>
      <c r="BIG42" s="73"/>
      <c r="BIH42" s="73"/>
      <c r="BII42" s="73"/>
      <c r="BIJ42" s="73"/>
      <c r="BIK42" s="73"/>
      <c r="BIL42" s="73"/>
      <c r="BIM42" s="73"/>
      <c r="BIN42" s="73"/>
      <c r="BIO42" s="73"/>
      <c r="BIP42" s="73"/>
      <c r="BIQ42" s="73"/>
      <c r="BIR42" s="73"/>
      <c r="BIS42" s="73"/>
      <c r="BIT42" s="73"/>
      <c r="BIU42" s="73"/>
      <c r="BIV42" s="73"/>
      <c r="BIW42" s="73"/>
      <c r="BIX42" s="73"/>
      <c r="BIY42" s="73"/>
      <c r="BIZ42" s="73"/>
      <c r="BJA42" s="73"/>
      <c r="BJB42" s="73"/>
      <c r="BJC42" s="73"/>
      <c r="BJD42" s="73"/>
      <c r="BJE42" s="73"/>
      <c r="BJF42" s="73"/>
      <c r="BJG42" s="73"/>
      <c r="BJH42" s="73"/>
      <c r="BJI42" s="73"/>
      <c r="BJJ42" s="73"/>
      <c r="BJK42" s="73"/>
      <c r="BJL42" s="73"/>
      <c r="BJM42" s="73"/>
      <c r="BJN42" s="73"/>
      <c r="BJO42" s="73"/>
      <c r="BJP42" s="73"/>
      <c r="BJQ42" s="73"/>
      <c r="BJR42" s="73"/>
      <c r="BJS42" s="73"/>
      <c r="BJT42" s="73"/>
      <c r="BJU42" s="73"/>
      <c r="BJV42" s="73"/>
      <c r="BJW42" s="73"/>
      <c r="BJX42" s="73"/>
      <c r="BJY42" s="73"/>
      <c r="BJZ42" s="73"/>
      <c r="BKA42" s="73"/>
      <c r="BKB42" s="73"/>
      <c r="BKC42" s="73"/>
      <c r="BKD42" s="73"/>
      <c r="BKE42" s="73"/>
      <c r="BKF42" s="73"/>
      <c r="BKG42" s="73"/>
      <c r="BKH42" s="73"/>
      <c r="BKI42" s="73"/>
      <c r="BKJ42" s="73"/>
      <c r="BKK42" s="73"/>
      <c r="BKL42" s="73"/>
      <c r="BKM42" s="73"/>
      <c r="BKN42" s="73"/>
      <c r="BKO42" s="73"/>
      <c r="BKP42" s="73"/>
      <c r="BKQ42" s="73"/>
      <c r="BKR42" s="73"/>
      <c r="BKS42" s="73"/>
      <c r="BKT42" s="73"/>
      <c r="BKU42" s="73"/>
      <c r="BKV42" s="73"/>
      <c r="BKW42" s="73"/>
      <c r="BKX42" s="73"/>
      <c r="BKY42" s="73"/>
      <c r="BKZ42" s="73"/>
      <c r="BLA42" s="73"/>
      <c r="BLB42" s="73"/>
      <c r="BLC42" s="73"/>
      <c r="BLD42" s="73"/>
      <c r="BLE42" s="73"/>
      <c r="BLF42" s="73"/>
      <c r="BLG42" s="73"/>
      <c r="BLH42" s="73"/>
      <c r="BLI42" s="73"/>
      <c r="BLJ42" s="73"/>
      <c r="BLK42" s="73"/>
      <c r="BLL42" s="73"/>
      <c r="BLM42" s="73"/>
      <c r="BLN42" s="73"/>
      <c r="BLO42" s="73"/>
      <c r="BLP42" s="73"/>
      <c r="BLQ42" s="73"/>
      <c r="BLR42" s="73"/>
      <c r="BLS42" s="73"/>
      <c r="BLT42" s="73"/>
      <c r="BLU42" s="73"/>
      <c r="BLV42" s="73"/>
      <c r="BLW42" s="73"/>
      <c r="BLX42" s="73"/>
      <c r="BLY42" s="73"/>
      <c r="BLZ42" s="73"/>
      <c r="BMA42" s="73"/>
      <c r="BMB42" s="73"/>
      <c r="BMC42" s="73"/>
      <c r="BMD42" s="73"/>
      <c r="BME42" s="73"/>
      <c r="BMF42" s="73"/>
      <c r="BMG42" s="73"/>
      <c r="BMH42" s="73"/>
      <c r="BMI42" s="73"/>
      <c r="BMJ42" s="73"/>
      <c r="BMK42" s="73"/>
      <c r="BML42" s="73"/>
      <c r="BMM42" s="73"/>
      <c r="BMN42" s="73"/>
      <c r="BMO42" s="73"/>
      <c r="BMP42" s="73"/>
      <c r="BMQ42" s="73"/>
      <c r="BMR42" s="73"/>
      <c r="BMS42" s="73"/>
      <c r="BMT42" s="73"/>
      <c r="BMU42" s="73"/>
      <c r="BMV42" s="73"/>
      <c r="BMW42" s="73"/>
      <c r="BMX42" s="73"/>
      <c r="BMY42" s="73"/>
      <c r="BMZ42" s="73"/>
      <c r="BNA42" s="73"/>
      <c r="BNB42" s="73"/>
      <c r="BNC42" s="73"/>
      <c r="BND42" s="73"/>
      <c r="BNE42" s="73"/>
      <c r="BNF42" s="73"/>
      <c r="BNG42" s="73"/>
      <c r="BNH42" s="73"/>
      <c r="BNI42" s="73"/>
      <c r="BNJ42" s="73"/>
      <c r="BNK42" s="73"/>
      <c r="BNL42" s="73"/>
      <c r="BNM42" s="73"/>
      <c r="BNN42" s="73"/>
      <c r="BNO42" s="73"/>
      <c r="BNP42" s="73"/>
      <c r="BNQ42" s="73"/>
      <c r="BNR42" s="73"/>
      <c r="BNS42" s="73"/>
      <c r="BNT42" s="73"/>
      <c r="BNU42" s="73"/>
      <c r="BNV42" s="73"/>
      <c r="BNW42" s="73"/>
      <c r="BNX42" s="73"/>
      <c r="BNY42" s="73"/>
      <c r="BNZ42" s="73"/>
      <c r="BOA42" s="73"/>
      <c r="BOB42" s="73"/>
      <c r="BOC42" s="73"/>
      <c r="BOD42" s="73"/>
      <c r="BOE42" s="73"/>
      <c r="BOF42" s="73"/>
      <c r="BOG42" s="73"/>
      <c r="BOH42" s="73"/>
      <c r="BOI42" s="73"/>
      <c r="BOJ42" s="73"/>
      <c r="BOK42" s="73"/>
      <c r="BOL42" s="73"/>
      <c r="BOM42" s="73"/>
      <c r="BON42" s="73"/>
      <c r="BOO42" s="73"/>
      <c r="BOP42" s="73"/>
      <c r="BOQ42" s="73"/>
      <c r="BOR42" s="73"/>
      <c r="BOS42" s="73"/>
      <c r="BOT42" s="73"/>
      <c r="BOU42" s="73"/>
      <c r="BOV42" s="73"/>
      <c r="BOW42" s="73"/>
      <c r="BOX42" s="73"/>
      <c r="BOY42" s="73"/>
      <c r="BOZ42" s="73"/>
      <c r="BPA42" s="73"/>
      <c r="BPB42" s="73"/>
      <c r="BPC42" s="73"/>
      <c r="BPD42" s="73"/>
      <c r="BPE42" s="73"/>
      <c r="BPF42" s="73"/>
      <c r="BPG42" s="73"/>
      <c r="BPH42" s="73"/>
      <c r="BPI42" s="73"/>
      <c r="BPJ42" s="73"/>
      <c r="BPK42" s="73"/>
      <c r="BPL42" s="73"/>
      <c r="BPM42" s="73"/>
      <c r="BPN42" s="73"/>
      <c r="BPO42" s="73"/>
      <c r="BPP42" s="73"/>
      <c r="BPQ42" s="73"/>
      <c r="BPR42" s="73"/>
      <c r="BPS42" s="73"/>
      <c r="BPT42" s="73"/>
      <c r="BPU42" s="73"/>
      <c r="BPV42" s="73"/>
      <c r="BPW42" s="73"/>
      <c r="BPX42" s="73"/>
      <c r="BPY42" s="73"/>
      <c r="BPZ42" s="73"/>
      <c r="BQA42" s="73"/>
      <c r="BQB42" s="73"/>
      <c r="BQC42" s="73"/>
      <c r="BQD42" s="73"/>
      <c r="BQE42" s="73"/>
      <c r="BQF42" s="73"/>
      <c r="BQG42" s="73"/>
      <c r="BQH42" s="73"/>
      <c r="BQI42" s="73"/>
      <c r="BQJ42" s="73"/>
      <c r="BQK42" s="73"/>
      <c r="BQL42" s="73"/>
      <c r="BQM42" s="73"/>
      <c r="BQN42" s="73"/>
      <c r="BQO42" s="73"/>
      <c r="BQP42" s="73"/>
      <c r="BQQ42" s="73"/>
      <c r="BQR42" s="73"/>
      <c r="BQS42" s="73"/>
      <c r="BQT42" s="73"/>
      <c r="BQU42" s="73"/>
      <c r="BQV42" s="73"/>
      <c r="BQW42" s="73"/>
      <c r="BQX42" s="73"/>
      <c r="BQY42" s="73"/>
      <c r="BQZ42" s="73"/>
      <c r="BRA42" s="73"/>
      <c r="BRB42" s="73"/>
      <c r="BRC42" s="73"/>
      <c r="BRD42" s="73"/>
      <c r="BRE42" s="73"/>
      <c r="BRF42" s="73"/>
      <c r="BRG42" s="73"/>
      <c r="BRH42" s="73"/>
      <c r="BRI42" s="73"/>
      <c r="BRJ42" s="73"/>
      <c r="BRK42" s="73"/>
      <c r="BRL42" s="73"/>
      <c r="BRM42" s="73"/>
      <c r="BRN42" s="73"/>
      <c r="BRO42" s="73"/>
      <c r="BRP42" s="73"/>
      <c r="BRQ42" s="73"/>
      <c r="BRR42" s="73"/>
      <c r="BRS42" s="73"/>
      <c r="BRT42" s="73"/>
      <c r="BRU42" s="73"/>
      <c r="BRV42" s="73"/>
      <c r="BRW42" s="73"/>
      <c r="BRX42" s="73"/>
      <c r="BRY42" s="73"/>
      <c r="BRZ42" s="73"/>
      <c r="BSA42" s="73"/>
      <c r="BSB42" s="73"/>
      <c r="BSC42" s="73"/>
      <c r="BSD42" s="73"/>
      <c r="BSE42" s="73"/>
      <c r="BSF42" s="73"/>
      <c r="BSG42" s="73"/>
      <c r="BSH42" s="73"/>
      <c r="BSI42" s="73"/>
      <c r="BSJ42" s="73"/>
      <c r="BSK42" s="73"/>
      <c r="BSL42" s="73"/>
      <c r="BSM42" s="73"/>
      <c r="BSN42" s="73"/>
      <c r="BSO42" s="73"/>
      <c r="BSP42" s="73"/>
      <c r="BSQ42" s="73"/>
      <c r="BSR42" s="73"/>
      <c r="BSS42" s="73"/>
      <c r="BST42" s="73"/>
      <c r="BSU42" s="73"/>
      <c r="BSV42" s="73"/>
      <c r="BSW42" s="73"/>
      <c r="BSX42" s="73"/>
      <c r="BSY42" s="73"/>
      <c r="BSZ42" s="73"/>
      <c r="BTA42" s="73"/>
      <c r="BTB42" s="73"/>
      <c r="BTC42" s="73"/>
      <c r="BTD42" s="73"/>
      <c r="BTE42" s="73"/>
      <c r="BTF42" s="73"/>
      <c r="BTG42" s="73"/>
      <c r="BTH42" s="73"/>
      <c r="BTI42" s="73"/>
      <c r="BTJ42" s="73"/>
      <c r="BTK42" s="73"/>
      <c r="BTL42" s="73"/>
      <c r="BTM42" s="73"/>
      <c r="BTN42" s="73"/>
      <c r="BTO42" s="73"/>
      <c r="BTP42" s="73"/>
      <c r="BTQ42" s="73"/>
      <c r="BTR42" s="73"/>
      <c r="BTS42" s="73"/>
      <c r="BTT42" s="73"/>
      <c r="BTU42" s="73"/>
      <c r="BTV42" s="73"/>
      <c r="BTW42" s="73"/>
      <c r="BTX42" s="73"/>
      <c r="BTY42" s="73"/>
      <c r="BTZ42" s="73"/>
      <c r="BUA42" s="73"/>
      <c r="BUB42" s="73"/>
      <c r="BUC42" s="73"/>
      <c r="BUD42" s="73"/>
      <c r="BUE42" s="73"/>
      <c r="BUF42" s="73"/>
      <c r="BUG42" s="73"/>
      <c r="BUH42" s="73"/>
      <c r="BUI42" s="73"/>
      <c r="BUJ42" s="73"/>
      <c r="BUK42" s="73"/>
      <c r="BUL42" s="73"/>
      <c r="BUM42" s="73"/>
      <c r="BUN42" s="73"/>
      <c r="BUO42" s="73"/>
      <c r="BUP42" s="73"/>
      <c r="BUQ42" s="73"/>
      <c r="BUR42" s="73"/>
      <c r="BUS42" s="73"/>
      <c r="BUT42" s="73"/>
      <c r="BUU42" s="73"/>
      <c r="BUV42" s="73"/>
      <c r="BUW42" s="73"/>
      <c r="BUX42" s="73"/>
      <c r="BUY42" s="73"/>
      <c r="BUZ42" s="73"/>
      <c r="BVA42" s="73"/>
      <c r="BVB42" s="73"/>
      <c r="BVC42" s="73"/>
      <c r="BVD42" s="73"/>
      <c r="BVE42" s="73"/>
      <c r="BVF42" s="73"/>
      <c r="BVG42" s="73"/>
      <c r="BVH42" s="73"/>
      <c r="BVI42" s="73"/>
      <c r="BVJ42" s="73"/>
      <c r="BVK42" s="73"/>
      <c r="BVL42" s="73"/>
      <c r="BVM42" s="73"/>
      <c r="BVN42" s="73"/>
      <c r="BVO42" s="73"/>
      <c r="BVP42" s="73"/>
      <c r="BVQ42" s="73"/>
      <c r="BVR42" s="73"/>
      <c r="BVS42" s="73"/>
      <c r="BVT42" s="73"/>
      <c r="BVU42" s="73"/>
      <c r="BVV42" s="73"/>
      <c r="BVW42" s="73"/>
      <c r="BVX42" s="73"/>
      <c r="BVY42" s="73"/>
      <c r="BVZ42" s="73"/>
      <c r="BWA42" s="73"/>
      <c r="BWB42" s="73"/>
      <c r="BWC42" s="73"/>
      <c r="BWD42" s="73"/>
      <c r="BWE42" s="73"/>
      <c r="BWF42" s="73"/>
      <c r="BWG42" s="73"/>
      <c r="BWH42" s="73"/>
      <c r="BWI42" s="73"/>
      <c r="BWJ42" s="73"/>
      <c r="BWK42" s="73"/>
      <c r="BWL42" s="73"/>
      <c r="BWM42" s="73"/>
      <c r="BWN42" s="73"/>
      <c r="BWO42" s="73"/>
      <c r="BWP42" s="73"/>
      <c r="BWQ42" s="73"/>
      <c r="BWR42" s="73"/>
      <c r="BWS42" s="73"/>
      <c r="BWT42" s="73"/>
      <c r="BWU42" s="73"/>
      <c r="BWV42" s="73"/>
      <c r="BWW42" s="73"/>
      <c r="BWX42" s="73"/>
      <c r="BWY42" s="73"/>
      <c r="BWZ42" s="73"/>
      <c r="BXA42" s="73"/>
      <c r="BXB42" s="73"/>
      <c r="BXC42" s="73"/>
      <c r="BXD42" s="73"/>
      <c r="BXE42" s="73"/>
      <c r="BXF42" s="73"/>
      <c r="BXG42" s="73"/>
      <c r="BXH42" s="73"/>
      <c r="BXI42" s="73"/>
      <c r="BXJ42" s="73"/>
      <c r="BXK42" s="73"/>
      <c r="BXL42" s="73"/>
      <c r="BXM42" s="73"/>
      <c r="BXN42" s="73"/>
      <c r="BXO42" s="73"/>
      <c r="BXP42" s="73"/>
      <c r="BXQ42" s="73"/>
      <c r="BXR42" s="73"/>
      <c r="BXS42" s="73"/>
      <c r="BXT42" s="73"/>
      <c r="BXU42" s="73"/>
      <c r="BXV42" s="73"/>
      <c r="BXW42" s="73"/>
      <c r="BXX42" s="73"/>
      <c r="BXY42" s="73"/>
      <c r="BXZ42" s="73"/>
      <c r="BYA42" s="73"/>
      <c r="BYB42" s="73"/>
      <c r="BYC42" s="73"/>
      <c r="BYD42" s="73"/>
      <c r="BYE42" s="73"/>
      <c r="BYF42" s="73"/>
      <c r="BYG42" s="73"/>
      <c r="BYH42" s="73"/>
      <c r="BYI42" s="73"/>
      <c r="BYJ42" s="73"/>
      <c r="BYK42" s="73"/>
      <c r="BYL42" s="73"/>
      <c r="BYM42" s="73"/>
      <c r="BYN42" s="73"/>
      <c r="BYO42" s="73"/>
      <c r="BYP42" s="73"/>
      <c r="BYQ42" s="73"/>
      <c r="BYR42" s="73"/>
      <c r="BYS42" s="73"/>
      <c r="BYT42" s="73"/>
      <c r="BYU42" s="73"/>
      <c r="BYV42" s="73"/>
      <c r="BYW42" s="73"/>
      <c r="BYX42" s="73"/>
      <c r="BYY42" s="73"/>
      <c r="BYZ42" s="73"/>
      <c r="BZA42" s="73"/>
      <c r="BZB42" s="73"/>
      <c r="BZC42" s="73"/>
      <c r="BZD42" s="73"/>
      <c r="BZE42" s="73"/>
      <c r="BZF42" s="73"/>
      <c r="BZG42" s="73"/>
      <c r="BZH42" s="73"/>
      <c r="BZI42" s="73"/>
      <c r="BZJ42" s="73"/>
      <c r="BZK42" s="73"/>
      <c r="BZL42" s="73"/>
      <c r="BZM42" s="73"/>
      <c r="BZN42" s="73"/>
      <c r="BZO42" s="73"/>
      <c r="BZP42" s="73"/>
      <c r="BZQ42" s="73"/>
      <c r="BZR42" s="73"/>
      <c r="BZS42" s="73"/>
      <c r="BZT42" s="73"/>
      <c r="BZU42" s="73"/>
      <c r="BZV42" s="73"/>
      <c r="BZW42" s="73"/>
      <c r="BZX42" s="73"/>
      <c r="BZY42" s="73"/>
      <c r="BZZ42" s="73"/>
      <c r="CAA42" s="73"/>
      <c r="CAB42" s="73"/>
      <c r="CAC42" s="73"/>
      <c r="CAD42" s="73"/>
      <c r="CAE42" s="73"/>
      <c r="CAF42" s="73"/>
      <c r="CAG42" s="73"/>
      <c r="CAH42" s="73"/>
      <c r="CAI42" s="73"/>
      <c r="CAJ42" s="73"/>
      <c r="CAK42" s="73"/>
      <c r="CAL42" s="73"/>
      <c r="CAM42" s="73"/>
      <c r="CAN42" s="73"/>
      <c r="CAO42" s="73"/>
      <c r="CAP42" s="73"/>
      <c r="CAQ42" s="73"/>
      <c r="CAR42" s="73"/>
      <c r="CAS42" s="73"/>
      <c r="CAT42" s="73"/>
      <c r="CAU42" s="73"/>
      <c r="CAV42" s="73"/>
      <c r="CAW42" s="73"/>
      <c r="CAX42" s="73"/>
      <c r="CAY42" s="73"/>
      <c r="CAZ42" s="73"/>
      <c r="CBA42" s="73"/>
      <c r="CBB42" s="73"/>
      <c r="CBC42" s="73"/>
      <c r="CBD42" s="73"/>
      <c r="CBE42" s="73"/>
      <c r="CBF42" s="73"/>
      <c r="CBG42" s="73"/>
      <c r="CBH42" s="73"/>
      <c r="CBI42" s="73"/>
      <c r="CBJ42" s="73"/>
      <c r="CBK42" s="73"/>
      <c r="CBL42" s="73"/>
      <c r="CBM42" s="73"/>
      <c r="CBN42" s="73"/>
      <c r="CBO42" s="73"/>
      <c r="CBP42" s="73"/>
      <c r="CBQ42" s="73"/>
      <c r="CBR42" s="73"/>
      <c r="CBS42" s="73"/>
      <c r="CBT42" s="73"/>
      <c r="CBU42" s="73"/>
      <c r="CBV42" s="73"/>
      <c r="CBW42" s="73"/>
      <c r="CBX42" s="73"/>
      <c r="CBY42" s="73"/>
      <c r="CBZ42" s="73"/>
      <c r="CCA42" s="73"/>
      <c r="CCB42" s="73"/>
      <c r="CCC42" s="73"/>
      <c r="CCD42" s="73"/>
      <c r="CCE42" s="73"/>
      <c r="CCF42" s="73"/>
      <c r="CCG42" s="73"/>
      <c r="CCH42" s="73"/>
      <c r="CCI42" s="73"/>
      <c r="CCJ42" s="73"/>
      <c r="CCK42" s="73"/>
      <c r="CCL42" s="73"/>
      <c r="CCM42" s="73"/>
      <c r="CCN42" s="73"/>
      <c r="CCO42" s="73"/>
      <c r="CCP42" s="73"/>
      <c r="CCQ42" s="73"/>
      <c r="CCR42" s="73"/>
      <c r="CCS42" s="73"/>
      <c r="CCT42" s="73"/>
      <c r="CCU42" s="73"/>
      <c r="CCV42" s="73"/>
      <c r="CCW42" s="73"/>
      <c r="CCX42" s="73"/>
      <c r="CCY42" s="73"/>
      <c r="CCZ42" s="73"/>
      <c r="CDA42" s="73"/>
      <c r="CDB42" s="73"/>
      <c r="CDC42" s="73"/>
      <c r="CDD42" s="73"/>
      <c r="CDE42" s="73"/>
      <c r="CDF42" s="73"/>
      <c r="CDG42" s="73"/>
      <c r="CDH42" s="73"/>
      <c r="CDI42" s="73"/>
      <c r="CDJ42" s="73"/>
      <c r="CDK42" s="73"/>
      <c r="CDL42" s="73"/>
      <c r="CDM42" s="73"/>
      <c r="CDN42" s="73"/>
      <c r="CDO42" s="73"/>
      <c r="CDP42" s="73"/>
      <c r="CDQ42" s="73"/>
      <c r="CDR42" s="73"/>
      <c r="CDS42" s="73"/>
      <c r="CDT42" s="73"/>
      <c r="CDU42" s="73"/>
      <c r="CDV42" s="73"/>
      <c r="CDW42" s="73"/>
      <c r="CDX42" s="73"/>
      <c r="CDY42" s="73"/>
      <c r="CDZ42" s="73"/>
      <c r="CEA42" s="73"/>
      <c r="CEB42" s="73"/>
      <c r="CEC42" s="73"/>
      <c r="CED42" s="73"/>
      <c r="CEE42" s="73"/>
      <c r="CEF42" s="73"/>
      <c r="CEG42" s="73"/>
      <c r="CEH42" s="73"/>
      <c r="CEI42" s="73"/>
      <c r="CEJ42" s="73"/>
      <c r="CEK42" s="73"/>
      <c r="CEL42" s="73"/>
      <c r="CEM42" s="73"/>
      <c r="CEN42" s="73"/>
      <c r="CEO42" s="73"/>
      <c r="CEP42" s="73"/>
      <c r="CEQ42" s="73"/>
      <c r="CER42" s="73"/>
      <c r="CES42" s="73"/>
      <c r="CET42" s="73"/>
      <c r="CEU42" s="73"/>
      <c r="CEV42" s="73"/>
      <c r="CEW42" s="73"/>
      <c r="CEX42" s="73"/>
      <c r="CEY42" s="73"/>
      <c r="CEZ42" s="73"/>
      <c r="CFA42" s="73"/>
      <c r="CFB42" s="73"/>
      <c r="CFC42" s="73"/>
      <c r="CFD42" s="73"/>
      <c r="CFE42" s="73"/>
      <c r="CFF42" s="73"/>
      <c r="CFG42" s="73"/>
      <c r="CFH42" s="73"/>
      <c r="CFI42" s="73"/>
      <c r="CFJ42" s="73"/>
      <c r="CFK42" s="73"/>
      <c r="CFL42" s="73"/>
      <c r="CFM42" s="73"/>
      <c r="CFN42" s="73"/>
      <c r="CFO42" s="73"/>
      <c r="CFP42" s="73"/>
      <c r="CFQ42" s="73"/>
      <c r="CFR42" s="73"/>
      <c r="CFS42" s="73"/>
      <c r="CFT42" s="73"/>
      <c r="CFU42" s="73"/>
      <c r="CFV42" s="73"/>
      <c r="CFW42" s="73"/>
      <c r="CFX42" s="73"/>
      <c r="CFY42" s="73"/>
      <c r="CFZ42" s="73"/>
      <c r="CGA42" s="73"/>
      <c r="CGB42" s="73"/>
      <c r="CGC42" s="73"/>
      <c r="CGD42" s="73"/>
      <c r="CGE42" s="73"/>
      <c r="CGF42" s="73"/>
      <c r="CGG42" s="73"/>
      <c r="CGH42" s="73"/>
      <c r="CGI42" s="73"/>
      <c r="CGJ42" s="73"/>
      <c r="CGK42" s="73"/>
      <c r="CGL42" s="73"/>
      <c r="CGM42" s="73"/>
      <c r="CGN42" s="73"/>
      <c r="CGO42" s="73"/>
      <c r="CGP42" s="73"/>
      <c r="CGQ42" s="73"/>
      <c r="CGR42" s="73"/>
      <c r="CGS42" s="73"/>
      <c r="CGT42" s="73"/>
      <c r="CGU42" s="73"/>
      <c r="CGV42" s="73"/>
      <c r="CGW42" s="73"/>
      <c r="CGX42" s="73"/>
      <c r="CGY42" s="73"/>
      <c r="CGZ42" s="73"/>
      <c r="CHA42" s="73"/>
      <c r="CHB42" s="73"/>
      <c r="CHC42" s="73"/>
      <c r="CHD42" s="73"/>
      <c r="CHE42" s="73"/>
      <c r="CHF42" s="73"/>
      <c r="CHG42" s="73"/>
      <c r="CHH42" s="73"/>
      <c r="CHI42" s="73"/>
      <c r="CHJ42" s="73"/>
      <c r="CHK42" s="73"/>
      <c r="CHL42" s="73"/>
      <c r="CHM42" s="73"/>
      <c r="CHN42" s="73"/>
      <c r="CHO42" s="73"/>
      <c r="CHP42" s="73"/>
      <c r="CHQ42" s="73"/>
      <c r="CHR42" s="73"/>
      <c r="CHS42" s="73"/>
      <c r="CHT42" s="73"/>
      <c r="CHU42" s="73"/>
      <c r="CHV42" s="73"/>
      <c r="CHW42" s="73"/>
      <c r="CHX42" s="73"/>
      <c r="CHY42" s="73"/>
      <c r="CHZ42" s="73"/>
      <c r="CIA42" s="73"/>
      <c r="CIB42" s="73"/>
      <c r="CIC42" s="73"/>
      <c r="CID42" s="73"/>
      <c r="CIE42" s="73"/>
      <c r="CIF42" s="73"/>
      <c r="CIG42" s="73"/>
      <c r="CIH42" s="73"/>
      <c r="CII42" s="73"/>
      <c r="CIJ42" s="73"/>
      <c r="CIK42" s="73"/>
      <c r="CIL42" s="73"/>
      <c r="CIM42" s="73"/>
      <c r="CIN42" s="73"/>
      <c r="CIO42" s="73"/>
      <c r="CIP42" s="73"/>
      <c r="CIQ42" s="73"/>
      <c r="CIR42" s="73"/>
      <c r="CIS42" s="73"/>
      <c r="CIT42" s="73"/>
      <c r="CIU42" s="73"/>
      <c r="CIV42" s="73"/>
      <c r="CIW42" s="73"/>
      <c r="CIX42" s="73"/>
      <c r="CIY42" s="73"/>
      <c r="CIZ42" s="73"/>
      <c r="CJA42" s="73"/>
      <c r="CJB42" s="73"/>
      <c r="CJC42" s="73"/>
      <c r="CJD42" s="73"/>
      <c r="CJE42" s="73"/>
      <c r="CJF42" s="73"/>
      <c r="CJG42" s="73"/>
      <c r="CJH42" s="73"/>
      <c r="CJI42" s="73"/>
      <c r="CJJ42" s="73"/>
      <c r="CJK42" s="73"/>
      <c r="CJL42" s="73"/>
      <c r="CJM42" s="73"/>
      <c r="CJN42" s="73"/>
      <c r="CJO42" s="73"/>
      <c r="CJP42" s="73"/>
      <c r="CJQ42" s="73"/>
      <c r="CJR42" s="73"/>
      <c r="CJS42" s="73"/>
      <c r="CJT42" s="73"/>
      <c r="CJU42" s="73"/>
      <c r="CJV42" s="73"/>
      <c r="CJW42" s="73"/>
      <c r="CJX42" s="73"/>
      <c r="CJY42" s="73"/>
      <c r="CJZ42" s="73"/>
      <c r="CKA42" s="73"/>
      <c r="CKB42" s="73"/>
      <c r="CKC42" s="73"/>
      <c r="CKD42" s="73"/>
      <c r="CKE42" s="73"/>
      <c r="CKF42" s="73"/>
      <c r="CKG42" s="73"/>
      <c r="CKH42" s="73"/>
      <c r="CKI42" s="73"/>
      <c r="CKJ42" s="73"/>
      <c r="CKK42" s="73"/>
      <c r="CKL42" s="73"/>
      <c r="CKM42" s="73"/>
      <c r="CKN42" s="73"/>
      <c r="CKO42" s="73"/>
      <c r="CKP42" s="73"/>
      <c r="CKQ42" s="73"/>
      <c r="CKR42" s="73"/>
      <c r="CKS42" s="73"/>
      <c r="CKT42" s="73"/>
      <c r="CKU42" s="73"/>
      <c r="CKV42" s="73"/>
      <c r="CKW42" s="73"/>
      <c r="CKX42" s="73"/>
      <c r="CKY42" s="73"/>
      <c r="CKZ42" s="73"/>
      <c r="CLA42" s="73"/>
      <c r="CLB42" s="73"/>
      <c r="CLC42" s="73"/>
      <c r="CLD42" s="73"/>
      <c r="CLE42" s="73"/>
      <c r="CLF42" s="73"/>
      <c r="CLG42" s="73"/>
      <c r="CLH42" s="73"/>
      <c r="CLI42" s="73"/>
      <c r="CLJ42" s="73"/>
      <c r="CLK42" s="73"/>
      <c r="CLL42" s="73"/>
      <c r="CLM42" s="73"/>
      <c r="CLN42" s="73"/>
      <c r="CLO42" s="73"/>
      <c r="CLP42" s="73"/>
      <c r="CLQ42" s="73"/>
      <c r="CLR42" s="73"/>
      <c r="CLS42" s="73"/>
      <c r="CLT42" s="73"/>
      <c r="CLU42" s="73"/>
      <c r="CLV42" s="73"/>
      <c r="CLW42" s="73"/>
      <c r="CLX42" s="73"/>
      <c r="CLY42" s="73"/>
      <c r="CLZ42" s="73"/>
      <c r="CMA42" s="73"/>
      <c r="CMB42" s="73"/>
      <c r="CMC42" s="73"/>
      <c r="CMD42" s="73"/>
      <c r="CME42" s="73"/>
      <c r="CMF42" s="73"/>
      <c r="CMG42" s="73"/>
      <c r="CMH42" s="73"/>
      <c r="CMI42" s="73"/>
      <c r="CMJ42" s="73"/>
      <c r="CMK42" s="73"/>
      <c r="CML42" s="73"/>
      <c r="CMM42" s="73"/>
      <c r="CMN42" s="73"/>
      <c r="CMO42" s="73"/>
      <c r="CMP42" s="73"/>
      <c r="CMQ42" s="73"/>
      <c r="CMR42" s="73"/>
      <c r="CMS42" s="73"/>
      <c r="CMT42" s="73"/>
      <c r="CMU42" s="73"/>
      <c r="CMV42" s="73"/>
      <c r="CMW42" s="73"/>
      <c r="CMX42" s="73"/>
      <c r="CMY42" s="73"/>
      <c r="CMZ42" s="73"/>
      <c r="CNA42" s="73"/>
      <c r="CNB42" s="73"/>
      <c r="CNC42" s="73"/>
      <c r="CND42" s="73"/>
      <c r="CNE42" s="73"/>
      <c r="CNF42" s="73"/>
      <c r="CNG42" s="73"/>
      <c r="CNH42" s="73"/>
      <c r="CNI42" s="73"/>
      <c r="CNJ42" s="73"/>
      <c r="CNK42" s="73"/>
      <c r="CNL42" s="73"/>
      <c r="CNM42" s="73"/>
      <c r="CNN42" s="73"/>
      <c r="CNO42" s="73"/>
      <c r="CNP42" s="73"/>
      <c r="CNQ42" s="73"/>
      <c r="CNR42" s="73"/>
      <c r="CNS42" s="73"/>
      <c r="CNT42" s="73"/>
      <c r="CNU42" s="73"/>
      <c r="CNV42" s="73"/>
      <c r="CNW42" s="73"/>
      <c r="CNX42" s="73"/>
      <c r="CNY42" s="73"/>
      <c r="CNZ42" s="73"/>
      <c r="COA42" s="73"/>
      <c r="COB42" s="73"/>
      <c r="COC42" s="73"/>
      <c r="COD42" s="73"/>
      <c r="COE42" s="73"/>
      <c r="COF42" s="73"/>
      <c r="COG42" s="73"/>
      <c r="COH42" s="73"/>
      <c r="COI42" s="73"/>
      <c r="COJ42" s="73"/>
      <c r="COK42" s="73"/>
      <c r="COL42" s="73"/>
      <c r="COM42" s="73"/>
      <c r="CON42" s="73"/>
      <c r="COO42" s="73"/>
      <c r="COP42" s="73"/>
      <c r="COQ42" s="73"/>
      <c r="COR42" s="73"/>
      <c r="COS42" s="73"/>
      <c r="COT42" s="73"/>
      <c r="COU42" s="73"/>
      <c r="COV42" s="73"/>
      <c r="COW42" s="73"/>
      <c r="COX42" s="73"/>
      <c r="COY42" s="73"/>
      <c r="COZ42" s="73"/>
      <c r="CPA42" s="73"/>
      <c r="CPB42" s="73"/>
      <c r="CPC42" s="73"/>
      <c r="CPD42" s="73"/>
      <c r="CPE42" s="73"/>
      <c r="CPF42" s="73"/>
      <c r="CPG42" s="73"/>
      <c r="CPH42" s="73"/>
      <c r="CPI42" s="73"/>
      <c r="CPJ42" s="73"/>
      <c r="CPK42" s="73"/>
      <c r="CPL42" s="73"/>
      <c r="CPM42" s="73"/>
      <c r="CPN42" s="73"/>
      <c r="CPO42" s="73"/>
      <c r="CPP42" s="73"/>
      <c r="CPQ42" s="73"/>
      <c r="CPR42" s="73"/>
      <c r="CPS42" s="73"/>
      <c r="CPT42" s="73"/>
      <c r="CPU42" s="73"/>
      <c r="CPV42" s="73"/>
      <c r="CPW42" s="73"/>
      <c r="CPX42" s="73"/>
      <c r="CPY42" s="73"/>
      <c r="CPZ42" s="73"/>
      <c r="CQA42" s="73"/>
      <c r="CQB42" s="73"/>
      <c r="CQC42" s="73"/>
      <c r="CQD42" s="73"/>
      <c r="CQE42" s="73"/>
      <c r="CQF42" s="73"/>
      <c r="CQG42" s="73"/>
      <c r="CQH42" s="73"/>
      <c r="CQI42" s="73"/>
      <c r="CQJ42" s="73"/>
      <c r="CQK42" s="73"/>
      <c r="CQL42" s="73"/>
      <c r="CQM42" s="73"/>
      <c r="CQN42" s="73"/>
      <c r="CQO42" s="73"/>
      <c r="CQP42" s="73"/>
      <c r="CQQ42" s="73"/>
      <c r="CQR42" s="73"/>
      <c r="CQS42" s="73"/>
      <c r="CQT42" s="73"/>
      <c r="CQU42" s="73"/>
      <c r="CQV42" s="73"/>
      <c r="CQW42" s="73"/>
      <c r="CQX42" s="73"/>
      <c r="CQY42" s="73"/>
      <c r="CQZ42" s="73"/>
      <c r="CRA42" s="73"/>
      <c r="CRB42" s="73"/>
      <c r="CRC42" s="73"/>
      <c r="CRD42" s="73"/>
      <c r="CRE42" s="73"/>
      <c r="CRF42" s="73"/>
      <c r="CRG42" s="73"/>
      <c r="CRH42" s="73"/>
      <c r="CRI42" s="73"/>
      <c r="CRJ42" s="73"/>
      <c r="CRK42" s="73"/>
      <c r="CRL42" s="73"/>
      <c r="CRM42" s="73"/>
      <c r="CRN42" s="73"/>
      <c r="CRO42" s="73"/>
      <c r="CRP42" s="73"/>
      <c r="CRQ42" s="73"/>
      <c r="CRR42" s="73"/>
      <c r="CRS42" s="73"/>
      <c r="CRT42" s="73"/>
      <c r="CRU42" s="73"/>
      <c r="CRV42" s="73"/>
      <c r="CRW42" s="73"/>
      <c r="CRX42" s="73"/>
      <c r="CRY42" s="73"/>
      <c r="CRZ42" s="73"/>
      <c r="CSA42" s="73"/>
      <c r="CSB42" s="73"/>
      <c r="CSC42" s="73"/>
      <c r="CSD42" s="73"/>
      <c r="CSE42" s="73"/>
      <c r="CSF42" s="73"/>
      <c r="CSG42" s="73"/>
      <c r="CSH42" s="73"/>
      <c r="CSI42" s="73"/>
      <c r="CSJ42" s="73"/>
      <c r="CSK42" s="73"/>
      <c r="CSL42" s="73"/>
      <c r="CSM42" s="73"/>
      <c r="CSN42" s="73"/>
      <c r="CSO42" s="73"/>
      <c r="CSP42" s="73"/>
      <c r="CSQ42" s="73"/>
      <c r="CSR42" s="73"/>
      <c r="CSS42" s="73"/>
      <c r="CST42" s="73"/>
      <c r="CSU42" s="73"/>
      <c r="CSV42" s="73"/>
      <c r="CSW42" s="73"/>
      <c r="CSX42" s="73"/>
      <c r="CSY42" s="73"/>
      <c r="CSZ42" s="73"/>
      <c r="CTA42" s="73"/>
      <c r="CTB42" s="73"/>
      <c r="CTC42" s="73"/>
      <c r="CTD42" s="73"/>
      <c r="CTE42" s="73"/>
      <c r="CTF42" s="73"/>
      <c r="CTG42" s="73"/>
      <c r="CTH42" s="73"/>
      <c r="CTI42" s="73"/>
      <c r="CTJ42" s="73"/>
      <c r="CTK42" s="73"/>
      <c r="CTL42" s="73"/>
      <c r="CTM42" s="73"/>
      <c r="CTN42" s="73"/>
      <c r="CTO42" s="73"/>
      <c r="CTP42" s="73"/>
      <c r="CTQ42" s="73"/>
      <c r="CTR42" s="73"/>
      <c r="CTS42" s="73"/>
      <c r="CTT42" s="73"/>
      <c r="CTU42" s="73"/>
      <c r="CTV42" s="73"/>
      <c r="CTW42" s="73"/>
      <c r="CTX42" s="73"/>
      <c r="CTY42" s="73"/>
      <c r="CTZ42" s="73"/>
      <c r="CUA42" s="73"/>
      <c r="CUB42" s="73"/>
      <c r="CUC42" s="73"/>
      <c r="CUD42" s="73"/>
      <c r="CUE42" s="73"/>
      <c r="CUF42" s="73"/>
      <c r="CUG42" s="73"/>
      <c r="CUH42" s="73"/>
      <c r="CUI42" s="73"/>
      <c r="CUJ42" s="73"/>
      <c r="CUK42" s="73"/>
      <c r="CUL42" s="73"/>
      <c r="CUM42" s="73"/>
      <c r="CUN42" s="73"/>
      <c r="CUO42" s="73"/>
      <c r="CUP42" s="73"/>
      <c r="CUQ42" s="73"/>
      <c r="CUR42" s="73"/>
      <c r="CUS42" s="73"/>
      <c r="CUT42" s="73"/>
      <c r="CUU42" s="73"/>
      <c r="CUV42" s="73"/>
      <c r="CUW42" s="73"/>
      <c r="CUX42" s="73"/>
      <c r="CUY42" s="73"/>
      <c r="CUZ42" s="73"/>
      <c r="CVA42" s="73"/>
      <c r="CVB42" s="73"/>
      <c r="CVC42" s="73"/>
      <c r="CVD42" s="73"/>
      <c r="CVE42" s="73"/>
      <c r="CVF42" s="73"/>
      <c r="CVG42" s="73"/>
      <c r="CVH42" s="73"/>
      <c r="CVI42" s="73"/>
      <c r="CVJ42" s="73"/>
      <c r="CVK42" s="73"/>
      <c r="CVL42" s="73"/>
      <c r="CVM42" s="73"/>
      <c r="CVN42" s="73"/>
      <c r="CVO42" s="73"/>
      <c r="CVP42" s="73"/>
      <c r="CVQ42" s="73"/>
      <c r="CVR42" s="73"/>
      <c r="CVS42" s="73"/>
      <c r="CVT42" s="73"/>
      <c r="CVU42" s="73"/>
      <c r="CVV42" s="73"/>
      <c r="CVW42" s="73"/>
      <c r="CVX42" s="73"/>
      <c r="CVY42" s="73"/>
      <c r="CVZ42" s="73"/>
      <c r="CWA42" s="73"/>
      <c r="CWB42" s="73"/>
      <c r="CWC42" s="73"/>
      <c r="CWD42" s="73"/>
      <c r="CWE42" s="73"/>
      <c r="CWF42" s="73"/>
      <c r="CWG42" s="73"/>
      <c r="CWH42" s="73"/>
      <c r="CWI42" s="73"/>
      <c r="CWJ42" s="73"/>
      <c r="CWK42" s="73"/>
      <c r="CWL42" s="73"/>
      <c r="CWM42" s="73"/>
      <c r="CWN42" s="73"/>
      <c r="CWO42" s="73"/>
      <c r="CWP42" s="73"/>
      <c r="CWQ42" s="73"/>
      <c r="CWR42" s="73"/>
      <c r="CWS42" s="73"/>
      <c r="CWT42" s="73"/>
      <c r="CWU42" s="73"/>
      <c r="CWV42" s="73"/>
      <c r="CWW42" s="73"/>
      <c r="CWX42" s="73"/>
      <c r="CWY42" s="73"/>
      <c r="CWZ42" s="73"/>
      <c r="CXA42" s="73"/>
      <c r="CXB42" s="73"/>
      <c r="CXC42" s="73"/>
      <c r="CXD42" s="73"/>
      <c r="CXE42" s="73"/>
      <c r="CXF42" s="73"/>
      <c r="CXG42" s="73"/>
      <c r="CXH42" s="73"/>
      <c r="CXI42" s="73"/>
      <c r="CXJ42" s="73"/>
      <c r="CXK42" s="73"/>
      <c r="CXL42" s="73"/>
      <c r="CXM42" s="73"/>
      <c r="CXN42" s="73"/>
      <c r="CXO42" s="73"/>
      <c r="CXP42" s="73"/>
      <c r="CXQ42" s="73"/>
      <c r="CXR42" s="73"/>
      <c r="CXS42" s="73"/>
      <c r="CXT42" s="73"/>
      <c r="CXU42" s="73"/>
      <c r="CXV42" s="73"/>
      <c r="CXW42" s="73"/>
      <c r="CXX42" s="73"/>
      <c r="CXY42" s="73"/>
      <c r="CXZ42" s="73"/>
      <c r="CYA42" s="73"/>
      <c r="CYB42" s="73"/>
      <c r="CYC42" s="73"/>
      <c r="CYD42" s="73"/>
      <c r="CYE42" s="73"/>
      <c r="CYF42" s="73"/>
      <c r="CYG42" s="73"/>
      <c r="CYH42" s="73"/>
      <c r="CYI42" s="73"/>
      <c r="CYJ42" s="73"/>
      <c r="CYK42" s="73"/>
      <c r="CYL42" s="73"/>
      <c r="CYM42" s="73"/>
      <c r="CYN42" s="73"/>
      <c r="CYO42" s="73"/>
      <c r="CYP42" s="73"/>
      <c r="CYQ42" s="73"/>
      <c r="CYR42" s="73"/>
      <c r="CYS42" s="73"/>
      <c r="CYT42" s="73"/>
      <c r="CYU42" s="73"/>
      <c r="CYV42" s="73"/>
      <c r="CYW42" s="73"/>
      <c r="CYX42" s="73"/>
      <c r="CYY42" s="73"/>
      <c r="CYZ42" s="73"/>
      <c r="CZA42" s="73"/>
      <c r="CZB42" s="73"/>
      <c r="CZC42" s="73"/>
      <c r="CZD42" s="73"/>
      <c r="CZE42" s="73"/>
      <c r="CZF42" s="73"/>
      <c r="CZG42" s="73"/>
      <c r="CZH42" s="73"/>
      <c r="CZI42" s="73"/>
      <c r="CZJ42" s="73"/>
      <c r="CZK42" s="73"/>
      <c r="CZL42" s="73"/>
      <c r="CZM42" s="73"/>
      <c r="CZN42" s="73"/>
      <c r="CZO42" s="73"/>
      <c r="CZP42" s="73"/>
      <c r="CZQ42" s="73"/>
      <c r="CZR42" s="73"/>
      <c r="CZS42" s="73"/>
      <c r="CZT42" s="73"/>
      <c r="CZU42" s="73"/>
      <c r="CZV42" s="73"/>
      <c r="CZW42" s="73"/>
      <c r="CZX42" s="73"/>
      <c r="CZY42" s="73"/>
      <c r="CZZ42" s="73"/>
      <c r="DAA42" s="73"/>
      <c r="DAB42" s="73"/>
      <c r="DAC42" s="73"/>
      <c r="DAD42" s="73"/>
      <c r="DAE42" s="73"/>
      <c r="DAF42" s="73"/>
      <c r="DAG42" s="73"/>
      <c r="DAH42" s="73"/>
      <c r="DAI42" s="73"/>
      <c r="DAJ42" s="73"/>
      <c r="DAK42" s="73"/>
      <c r="DAL42" s="73"/>
      <c r="DAM42" s="73"/>
      <c r="DAN42" s="73"/>
      <c r="DAO42" s="73"/>
      <c r="DAP42" s="73"/>
      <c r="DAQ42" s="73"/>
      <c r="DAR42" s="73"/>
      <c r="DAS42" s="73"/>
      <c r="DAT42" s="73"/>
      <c r="DAU42" s="73"/>
      <c r="DAV42" s="73"/>
      <c r="DAW42" s="73"/>
      <c r="DAX42" s="73"/>
      <c r="DAY42" s="73"/>
      <c r="DAZ42" s="73"/>
      <c r="DBA42" s="73"/>
      <c r="DBB42" s="73"/>
      <c r="DBC42" s="73"/>
      <c r="DBD42" s="73"/>
      <c r="DBE42" s="73"/>
      <c r="DBF42" s="73"/>
      <c r="DBG42" s="73"/>
      <c r="DBH42" s="73"/>
      <c r="DBI42" s="73"/>
      <c r="DBJ42" s="73"/>
      <c r="DBK42" s="73"/>
      <c r="DBL42" s="73"/>
      <c r="DBM42" s="73"/>
      <c r="DBN42" s="73"/>
      <c r="DBO42" s="73"/>
      <c r="DBP42" s="73"/>
      <c r="DBQ42" s="73"/>
      <c r="DBR42" s="73"/>
      <c r="DBS42" s="73"/>
      <c r="DBT42" s="73"/>
      <c r="DBU42" s="73"/>
      <c r="DBV42" s="73"/>
      <c r="DBW42" s="73"/>
      <c r="DBX42" s="73"/>
      <c r="DBY42" s="73"/>
      <c r="DBZ42" s="73"/>
      <c r="DCA42" s="73"/>
      <c r="DCB42" s="73"/>
      <c r="DCC42" s="73"/>
      <c r="DCD42" s="73"/>
      <c r="DCE42" s="73"/>
      <c r="DCF42" s="73"/>
      <c r="DCG42" s="73"/>
      <c r="DCH42" s="73"/>
      <c r="DCI42" s="73"/>
      <c r="DCJ42" s="73"/>
      <c r="DCK42" s="73"/>
      <c r="DCL42" s="73"/>
      <c r="DCM42" s="73"/>
      <c r="DCN42" s="73"/>
      <c r="DCO42" s="73"/>
      <c r="DCP42" s="73"/>
      <c r="DCQ42" s="73"/>
      <c r="DCR42" s="73"/>
      <c r="DCS42" s="73"/>
      <c r="DCT42" s="73"/>
      <c r="DCU42" s="73"/>
      <c r="DCV42" s="73"/>
      <c r="DCW42" s="73"/>
      <c r="DCX42" s="73"/>
      <c r="DCY42" s="73"/>
      <c r="DCZ42" s="73"/>
      <c r="DDA42" s="73"/>
      <c r="DDB42" s="73"/>
      <c r="DDC42" s="73"/>
      <c r="DDD42" s="73"/>
      <c r="DDE42" s="73"/>
      <c r="DDF42" s="73"/>
      <c r="DDG42" s="73"/>
      <c r="DDH42" s="73"/>
      <c r="DDI42" s="73"/>
      <c r="DDJ42" s="73"/>
      <c r="DDK42" s="73"/>
      <c r="DDL42" s="73"/>
      <c r="DDM42" s="73"/>
      <c r="DDN42" s="73"/>
      <c r="DDO42" s="73"/>
      <c r="DDP42" s="73"/>
      <c r="DDQ42" s="73"/>
      <c r="DDR42" s="73"/>
      <c r="DDS42" s="73"/>
      <c r="DDT42" s="73"/>
      <c r="DDU42" s="73"/>
      <c r="DDV42" s="73"/>
      <c r="DDW42" s="73"/>
      <c r="DDX42" s="73"/>
      <c r="DDY42" s="73"/>
      <c r="DDZ42" s="73"/>
      <c r="DEA42" s="73"/>
      <c r="DEB42" s="73"/>
      <c r="DEC42" s="73"/>
      <c r="DED42" s="73"/>
      <c r="DEE42" s="73"/>
      <c r="DEF42" s="73"/>
      <c r="DEG42" s="73"/>
      <c r="DEH42" s="73"/>
      <c r="DEI42" s="73"/>
      <c r="DEJ42" s="73"/>
      <c r="DEK42" s="73"/>
      <c r="DEL42" s="73"/>
      <c r="DEM42" s="73"/>
      <c r="DEN42" s="73"/>
      <c r="DEO42" s="73"/>
      <c r="DEP42" s="73"/>
      <c r="DEQ42" s="73"/>
      <c r="DER42" s="73"/>
      <c r="DES42" s="73"/>
      <c r="DET42" s="73"/>
      <c r="DEU42" s="73"/>
      <c r="DEV42" s="73"/>
      <c r="DEW42" s="73"/>
      <c r="DEX42" s="73"/>
      <c r="DEY42" s="73"/>
      <c r="DEZ42" s="73"/>
      <c r="DFA42" s="73"/>
      <c r="DFB42" s="73"/>
      <c r="DFC42" s="73"/>
      <c r="DFD42" s="73"/>
      <c r="DFE42" s="73"/>
      <c r="DFF42" s="73"/>
      <c r="DFG42" s="73"/>
      <c r="DFH42" s="73"/>
      <c r="DFI42" s="73"/>
      <c r="DFJ42" s="73"/>
      <c r="DFK42" s="73"/>
      <c r="DFL42" s="73"/>
      <c r="DFM42" s="73"/>
      <c r="DFN42" s="73"/>
      <c r="DFO42" s="73"/>
      <c r="DFP42" s="73"/>
      <c r="DFQ42" s="73"/>
      <c r="DFR42" s="73"/>
      <c r="DFS42" s="73"/>
      <c r="DFT42" s="73"/>
      <c r="DFU42" s="73"/>
      <c r="DFV42" s="73"/>
      <c r="DFW42" s="73"/>
      <c r="DFX42" s="73"/>
      <c r="DFY42" s="73"/>
      <c r="DFZ42" s="73"/>
      <c r="DGA42" s="73"/>
      <c r="DGB42" s="73"/>
      <c r="DGC42" s="73"/>
      <c r="DGD42" s="73"/>
      <c r="DGE42" s="73"/>
      <c r="DGF42" s="73"/>
      <c r="DGG42" s="73"/>
      <c r="DGH42" s="73"/>
      <c r="DGI42" s="73"/>
      <c r="DGJ42" s="73"/>
      <c r="DGK42" s="73"/>
      <c r="DGL42" s="73"/>
      <c r="DGM42" s="73"/>
      <c r="DGN42" s="73"/>
      <c r="DGO42" s="73"/>
      <c r="DGP42" s="73"/>
      <c r="DGQ42" s="73"/>
      <c r="DGR42" s="73"/>
      <c r="DGS42" s="73"/>
      <c r="DGT42" s="73"/>
      <c r="DGU42" s="73"/>
      <c r="DGV42" s="73"/>
      <c r="DGW42" s="73"/>
      <c r="DGX42" s="73"/>
      <c r="DGY42" s="73"/>
      <c r="DGZ42" s="73"/>
      <c r="DHA42" s="73"/>
      <c r="DHB42" s="73"/>
      <c r="DHC42" s="73"/>
      <c r="DHD42" s="73"/>
      <c r="DHE42" s="73"/>
      <c r="DHF42" s="73"/>
      <c r="DHG42" s="73"/>
      <c r="DHH42" s="73"/>
      <c r="DHI42" s="73"/>
      <c r="DHJ42" s="73"/>
      <c r="DHK42" s="73"/>
      <c r="DHL42" s="73"/>
      <c r="DHM42" s="73"/>
      <c r="DHN42" s="73"/>
      <c r="DHO42" s="73"/>
      <c r="DHP42" s="73"/>
      <c r="DHQ42" s="73"/>
      <c r="DHR42" s="73"/>
      <c r="DHS42" s="73"/>
      <c r="DHT42" s="73"/>
      <c r="DHU42" s="73"/>
      <c r="DHV42" s="73"/>
      <c r="DHW42" s="73"/>
      <c r="DHX42" s="73"/>
      <c r="DHY42" s="73"/>
      <c r="DHZ42" s="73"/>
      <c r="DIA42" s="73"/>
      <c r="DIB42" s="73"/>
      <c r="DIC42" s="73"/>
      <c r="DID42" s="73"/>
      <c r="DIE42" s="73"/>
      <c r="DIF42" s="73"/>
      <c r="DIG42" s="73"/>
      <c r="DIH42" s="73"/>
      <c r="DII42" s="73"/>
      <c r="DIJ42" s="73"/>
      <c r="DIK42" s="73"/>
      <c r="DIL42" s="73"/>
      <c r="DIM42" s="73"/>
      <c r="DIN42" s="73"/>
      <c r="DIO42" s="73"/>
      <c r="DIP42" s="73"/>
      <c r="DIQ42" s="73"/>
      <c r="DIR42" s="73"/>
      <c r="DIS42" s="73"/>
      <c r="DIT42" s="73"/>
      <c r="DIU42" s="73"/>
      <c r="DIV42" s="73"/>
      <c r="DIW42" s="73"/>
      <c r="DIX42" s="73"/>
      <c r="DIY42" s="73"/>
      <c r="DIZ42" s="73"/>
      <c r="DJA42" s="73"/>
      <c r="DJB42" s="73"/>
      <c r="DJC42" s="73"/>
      <c r="DJD42" s="73"/>
      <c r="DJE42" s="73"/>
      <c r="DJF42" s="73"/>
      <c r="DJG42" s="73"/>
      <c r="DJH42" s="73"/>
      <c r="DJI42" s="73"/>
      <c r="DJJ42" s="73"/>
      <c r="DJK42" s="73"/>
      <c r="DJL42" s="73"/>
      <c r="DJM42" s="73"/>
      <c r="DJN42" s="73"/>
      <c r="DJO42" s="73"/>
      <c r="DJP42" s="73"/>
      <c r="DJQ42" s="73"/>
      <c r="DJR42" s="73"/>
      <c r="DJS42" s="73"/>
      <c r="DJT42" s="73"/>
      <c r="DJU42" s="73"/>
      <c r="DJV42" s="73"/>
      <c r="DJW42" s="73"/>
      <c r="DJX42" s="73"/>
      <c r="DJY42" s="73"/>
      <c r="DJZ42" s="73"/>
      <c r="DKA42" s="73"/>
      <c r="DKB42" s="73"/>
      <c r="DKC42" s="73"/>
      <c r="DKD42" s="73"/>
      <c r="DKE42" s="73"/>
      <c r="DKF42" s="73"/>
      <c r="DKG42" s="73"/>
      <c r="DKH42" s="73"/>
      <c r="DKI42" s="73"/>
      <c r="DKJ42" s="73"/>
      <c r="DKK42" s="73"/>
      <c r="DKL42" s="73"/>
      <c r="DKM42" s="73"/>
      <c r="DKN42" s="73"/>
      <c r="DKO42" s="73"/>
      <c r="DKP42" s="73"/>
      <c r="DKQ42" s="73"/>
      <c r="DKR42" s="73"/>
      <c r="DKS42" s="73"/>
      <c r="DKT42" s="73"/>
      <c r="DKU42" s="73"/>
      <c r="DKV42" s="73"/>
      <c r="DKW42" s="73"/>
      <c r="DKX42" s="73"/>
      <c r="DKY42" s="73"/>
      <c r="DKZ42" s="73"/>
      <c r="DLA42" s="73"/>
      <c r="DLB42" s="73"/>
      <c r="DLC42" s="73"/>
      <c r="DLD42" s="73"/>
      <c r="DLE42" s="73"/>
      <c r="DLF42" s="73"/>
      <c r="DLG42" s="73"/>
      <c r="DLH42" s="73"/>
      <c r="DLI42" s="73"/>
      <c r="DLJ42" s="73"/>
      <c r="DLK42" s="73"/>
      <c r="DLL42" s="73"/>
      <c r="DLM42" s="73"/>
      <c r="DLN42" s="73"/>
      <c r="DLO42" s="73"/>
      <c r="DLP42" s="73"/>
      <c r="DLQ42" s="73"/>
      <c r="DLR42" s="73"/>
      <c r="DLS42" s="73"/>
      <c r="DLT42" s="73"/>
      <c r="DLU42" s="73"/>
      <c r="DLV42" s="73"/>
      <c r="DLW42" s="73"/>
      <c r="DLX42" s="73"/>
      <c r="DLY42" s="73"/>
      <c r="DLZ42" s="73"/>
      <c r="DMA42" s="73"/>
      <c r="DMB42" s="73"/>
      <c r="DMC42" s="73"/>
      <c r="DMD42" s="73"/>
      <c r="DME42" s="73"/>
      <c r="DMF42" s="73"/>
      <c r="DMG42" s="73"/>
      <c r="DMH42" s="73"/>
      <c r="DMI42" s="73"/>
      <c r="DMJ42" s="73"/>
      <c r="DMK42" s="73"/>
      <c r="DML42" s="73"/>
      <c r="DMM42" s="73"/>
      <c r="DMN42" s="73"/>
      <c r="DMO42" s="73"/>
      <c r="DMP42" s="73"/>
      <c r="DMQ42" s="73"/>
      <c r="DMR42" s="73"/>
      <c r="DMS42" s="73"/>
      <c r="DMT42" s="73"/>
      <c r="DMU42" s="73"/>
      <c r="DMV42" s="73"/>
      <c r="DMW42" s="73"/>
      <c r="DMX42" s="73"/>
      <c r="DMY42" s="73"/>
      <c r="DMZ42" s="73"/>
      <c r="DNA42" s="73"/>
      <c r="DNB42" s="73"/>
      <c r="DNC42" s="73"/>
      <c r="DND42" s="73"/>
      <c r="DNE42" s="73"/>
      <c r="DNF42" s="73"/>
      <c r="DNG42" s="73"/>
      <c r="DNH42" s="73"/>
      <c r="DNI42" s="73"/>
      <c r="DNJ42" s="73"/>
      <c r="DNK42" s="73"/>
      <c r="DNL42" s="73"/>
      <c r="DNM42" s="73"/>
      <c r="DNN42" s="73"/>
      <c r="DNO42" s="73"/>
      <c r="DNP42" s="73"/>
      <c r="DNQ42" s="73"/>
      <c r="DNR42" s="73"/>
      <c r="DNS42" s="73"/>
      <c r="DNT42" s="73"/>
      <c r="DNU42" s="73"/>
      <c r="DNV42" s="73"/>
      <c r="DNW42" s="73"/>
      <c r="DNX42" s="73"/>
      <c r="DNY42" s="73"/>
      <c r="DNZ42" s="73"/>
      <c r="DOA42" s="73"/>
      <c r="DOB42" s="73"/>
      <c r="DOC42" s="73"/>
      <c r="DOD42" s="73"/>
      <c r="DOE42" s="73"/>
      <c r="DOF42" s="73"/>
      <c r="DOG42" s="73"/>
      <c r="DOH42" s="73"/>
      <c r="DOI42" s="73"/>
      <c r="DOJ42" s="73"/>
      <c r="DOK42" s="73"/>
      <c r="DOL42" s="73"/>
      <c r="DOM42" s="73"/>
      <c r="DON42" s="73"/>
      <c r="DOO42" s="73"/>
      <c r="DOP42" s="73"/>
      <c r="DOQ42" s="73"/>
      <c r="DOR42" s="73"/>
      <c r="DOS42" s="73"/>
      <c r="DOT42" s="73"/>
      <c r="DOU42" s="73"/>
      <c r="DOV42" s="73"/>
      <c r="DOW42" s="73"/>
      <c r="DOX42" s="73"/>
      <c r="DOY42" s="73"/>
      <c r="DOZ42" s="73"/>
      <c r="DPA42" s="73"/>
      <c r="DPB42" s="73"/>
      <c r="DPC42" s="73"/>
      <c r="DPD42" s="73"/>
      <c r="DPE42" s="73"/>
      <c r="DPF42" s="73"/>
      <c r="DPG42" s="73"/>
      <c r="DPH42" s="73"/>
      <c r="DPI42" s="73"/>
      <c r="DPJ42" s="73"/>
      <c r="DPK42" s="73"/>
      <c r="DPL42" s="73"/>
      <c r="DPM42" s="73"/>
      <c r="DPN42" s="73"/>
      <c r="DPO42" s="73"/>
      <c r="DPP42" s="73"/>
      <c r="DPQ42" s="73"/>
      <c r="DPR42" s="73"/>
      <c r="DPS42" s="73"/>
      <c r="DPT42" s="73"/>
      <c r="DPU42" s="73"/>
      <c r="DPV42" s="73"/>
      <c r="DPW42" s="73"/>
      <c r="DPX42" s="73"/>
      <c r="DPY42" s="73"/>
      <c r="DPZ42" s="73"/>
      <c r="DQA42" s="73"/>
      <c r="DQB42" s="73"/>
      <c r="DQC42" s="73"/>
      <c r="DQD42" s="73"/>
      <c r="DQE42" s="73"/>
      <c r="DQF42" s="73"/>
      <c r="DQG42" s="73"/>
      <c r="DQH42" s="73"/>
      <c r="DQI42" s="73"/>
      <c r="DQJ42" s="73"/>
      <c r="DQK42" s="73"/>
      <c r="DQL42" s="73"/>
      <c r="DQM42" s="73"/>
      <c r="DQN42" s="73"/>
      <c r="DQO42" s="73"/>
      <c r="DQP42" s="73"/>
      <c r="DQQ42" s="73"/>
      <c r="DQR42" s="73"/>
      <c r="DQS42" s="73"/>
      <c r="DQT42" s="73"/>
      <c r="DQU42" s="73"/>
      <c r="DQV42" s="73"/>
      <c r="DQW42" s="73"/>
      <c r="DQX42" s="73"/>
      <c r="DQY42" s="73"/>
      <c r="DQZ42" s="73"/>
      <c r="DRA42" s="73"/>
      <c r="DRB42" s="73"/>
      <c r="DRC42" s="73"/>
      <c r="DRD42" s="73"/>
      <c r="DRE42" s="73"/>
      <c r="DRF42" s="73"/>
      <c r="DRG42" s="73"/>
      <c r="DRH42" s="73"/>
      <c r="DRI42" s="73"/>
      <c r="DRJ42" s="73"/>
      <c r="DRK42" s="73"/>
      <c r="DRL42" s="73"/>
      <c r="DRM42" s="73"/>
      <c r="DRN42" s="73"/>
      <c r="DRO42" s="73"/>
      <c r="DRP42" s="73"/>
      <c r="DRQ42" s="73"/>
      <c r="DRR42" s="73"/>
      <c r="DRS42" s="73"/>
      <c r="DRT42" s="73"/>
      <c r="DRU42" s="73"/>
      <c r="DRV42" s="73"/>
      <c r="DRW42" s="73"/>
      <c r="DRX42" s="73"/>
      <c r="DRY42" s="73"/>
      <c r="DRZ42" s="73"/>
      <c r="DSA42" s="73"/>
      <c r="DSB42" s="73"/>
      <c r="DSC42" s="73"/>
      <c r="DSD42" s="73"/>
      <c r="DSE42" s="73"/>
      <c r="DSF42" s="73"/>
      <c r="DSG42" s="73"/>
      <c r="DSH42" s="73"/>
      <c r="DSI42" s="73"/>
      <c r="DSJ42" s="73"/>
      <c r="DSK42" s="73"/>
      <c r="DSL42" s="73"/>
      <c r="DSM42" s="73"/>
      <c r="DSN42" s="73"/>
      <c r="DSO42" s="73"/>
      <c r="DSP42" s="73"/>
      <c r="DSQ42" s="73"/>
      <c r="DSR42" s="73"/>
      <c r="DSS42" s="73"/>
      <c r="DST42" s="73"/>
      <c r="DSU42" s="73"/>
      <c r="DSV42" s="73"/>
      <c r="DSW42" s="73"/>
      <c r="DSX42" s="73"/>
      <c r="DSY42" s="73"/>
      <c r="DSZ42" s="73"/>
      <c r="DTA42" s="73"/>
      <c r="DTB42" s="73"/>
      <c r="DTC42" s="73"/>
      <c r="DTD42" s="73"/>
      <c r="DTE42" s="73"/>
      <c r="DTF42" s="73"/>
      <c r="DTG42" s="73"/>
      <c r="DTH42" s="73"/>
      <c r="DTI42" s="73"/>
      <c r="DTJ42" s="73"/>
      <c r="DTK42" s="73"/>
      <c r="DTL42" s="73"/>
      <c r="DTM42" s="73"/>
      <c r="DTN42" s="73"/>
      <c r="DTO42" s="73"/>
      <c r="DTP42" s="73"/>
      <c r="DTQ42" s="73"/>
      <c r="DTR42" s="73"/>
      <c r="DTS42" s="73"/>
      <c r="DTT42" s="73"/>
      <c r="DTU42" s="73"/>
      <c r="DTV42" s="73"/>
      <c r="DTW42" s="73"/>
      <c r="DTX42" s="73"/>
      <c r="DTY42" s="73"/>
      <c r="DTZ42" s="73"/>
      <c r="DUA42" s="73"/>
      <c r="DUB42" s="73"/>
      <c r="DUC42" s="73"/>
      <c r="DUD42" s="73"/>
      <c r="DUE42" s="73"/>
      <c r="DUF42" s="73"/>
      <c r="DUG42" s="73"/>
      <c r="DUH42" s="73"/>
      <c r="DUI42" s="73"/>
      <c r="DUJ42" s="73"/>
      <c r="DUK42" s="73"/>
      <c r="DUL42" s="73"/>
      <c r="DUM42" s="73"/>
      <c r="DUN42" s="73"/>
      <c r="DUO42" s="73"/>
      <c r="DUP42" s="73"/>
      <c r="DUQ42" s="73"/>
      <c r="DUR42" s="73"/>
      <c r="DUS42" s="73"/>
      <c r="DUT42" s="73"/>
      <c r="DUU42" s="73"/>
      <c r="DUV42" s="73"/>
      <c r="DUW42" s="73"/>
      <c r="DUX42" s="73"/>
      <c r="DUY42" s="73"/>
      <c r="DUZ42" s="73"/>
      <c r="DVA42" s="73"/>
      <c r="DVB42" s="73"/>
      <c r="DVC42" s="73"/>
      <c r="DVD42" s="73"/>
      <c r="DVE42" s="73"/>
      <c r="DVF42" s="73"/>
      <c r="DVG42" s="73"/>
      <c r="DVH42" s="73"/>
      <c r="DVI42" s="73"/>
      <c r="DVJ42" s="73"/>
      <c r="DVK42" s="73"/>
      <c r="DVL42" s="73"/>
      <c r="DVM42" s="73"/>
      <c r="DVN42" s="73"/>
      <c r="DVO42" s="73"/>
      <c r="DVP42" s="73"/>
      <c r="DVQ42" s="73"/>
      <c r="DVR42" s="73"/>
      <c r="DVS42" s="73"/>
      <c r="DVT42" s="73"/>
      <c r="DVU42" s="73"/>
      <c r="DVV42" s="73"/>
      <c r="DVW42" s="73"/>
      <c r="DVX42" s="73"/>
      <c r="DVY42" s="73"/>
      <c r="DVZ42" s="73"/>
      <c r="DWA42" s="73"/>
      <c r="DWB42" s="73"/>
      <c r="DWC42" s="73"/>
      <c r="DWD42" s="73"/>
      <c r="DWE42" s="73"/>
      <c r="DWF42" s="73"/>
      <c r="DWG42" s="73"/>
      <c r="DWH42" s="73"/>
      <c r="DWI42" s="73"/>
      <c r="DWJ42" s="73"/>
      <c r="DWK42" s="73"/>
      <c r="DWL42" s="73"/>
      <c r="DWM42" s="73"/>
      <c r="DWN42" s="73"/>
      <c r="DWO42" s="73"/>
      <c r="DWP42" s="73"/>
      <c r="DWQ42" s="73"/>
      <c r="DWR42" s="73"/>
      <c r="DWS42" s="73"/>
      <c r="DWT42" s="73"/>
      <c r="DWU42" s="73"/>
      <c r="DWV42" s="73"/>
      <c r="DWW42" s="73"/>
      <c r="DWX42" s="73"/>
      <c r="DWY42" s="73"/>
      <c r="DWZ42" s="73"/>
      <c r="DXA42" s="73"/>
      <c r="DXB42" s="73"/>
      <c r="DXC42" s="73"/>
      <c r="DXD42" s="73"/>
      <c r="DXE42" s="73"/>
      <c r="DXF42" s="73"/>
      <c r="DXG42" s="73"/>
      <c r="DXH42" s="73"/>
      <c r="DXI42" s="73"/>
      <c r="DXJ42" s="73"/>
      <c r="DXK42" s="73"/>
      <c r="DXL42" s="73"/>
      <c r="DXM42" s="73"/>
      <c r="DXN42" s="73"/>
      <c r="DXO42" s="73"/>
      <c r="DXP42" s="73"/>
      <c r="DXQ42" s="73"/>
      <c r="DXR42" s="73"/>
      <c r="DXS42" s="73"/>
      <c r="DXT42" s="73"/>
      <c r="DXU42" s="73"/>
      <c r="DXV42" s="73"/>
      <c r="DXW42" s="73"/>
      <c r="DXX42" s="73"/>
      <c r="DXY42" s="73"/>
      <c r="DXZ42" s="73"/>
      <c r="DYA42" s="73"/>
      <c r="DYB42" s="73"/>
      <c r="DYC42" s="73"/>
      <c r="DYD42" s="73"/>
      <c r="DYE42" s="73"/>
      <c r="DYF42" s="73"/>
      <c r="DYG42" s="73"/>
      <c r="DYH42" s="73"/>
      <c r="DYI42" s="73"/>
      <c r="DYJ42" s="73"/>
      <c r="DYK42" s="73"/>
      <c r="DYL42" s="73"/>
      <c r="DYM42" s="73"/>
      <c r="DYN42" s="73"/>
      <c r="DYO42" s="73"/>
      <c r="DYP42" s="73"/>
      <c r="DYQ42" s="73"/>
      <c r="DYR42" s="73"/>
      <c r="DYS42" s="73"/>
      <c r="DYT42" s="73"/>
      <c r="DYU42" s="73"/>
      <c r="DYV42" s="73"/>
      <c r="DYW42" s="73"/>
      <c r="DYX42" s="73"/>
      <c r="DYY42" s="73"/>
      <c r="DYZ42" s="73"/>
      <c r="DZA42" s="73"/>
      <c r="DZB42" s="73"/>
      <c r="DZC42" s="73"/>
      <c r="DZD42" s="73"/>
      <c r="DZE42" s="73"/>
      <c r="DZF42" s="73"/>
      <c r="DZG42" s="73"/>
      <c r="DZH42" s="73"/>
      <c r="DZI42" s="73"/>
      <c r="DZJ42" s="73"/>
      <c r="DZK42" s="73"/>
      <c r="DZL42" s="73"/>
      <c r="DZM42" s="73"/>
      <c r="DZN42" s="73"/>
      <c r="DZO42" s="73"/>
      <c r="DZP42" s="73"/>
      <c r="DZQ42" s="73"/>
      <c r="DZR42" s="73"/>
      <c r="DZS42" s="73"/>
      <c r="DZT42" s="73"/>
      <c r="DZU42" s="73"/>
      <c r="DZV42" s="73"/>
      <c r="DZW42" s="73"/>
      <c r="DZX42" s="73"/>
      <c r="DZY42" s="73"/>
      <c r="DZZ42" s="73"/>
      <c r="EAA42" s="73"/>
      <c r="EAB42" s="73"/>
      <c r="EAC42" s="73"/>
      <c r="EAD42" s="73"/>
      <c r="EAE42" s="73"/>
      <c r="EAF42" s="73"/>
      <c r="EAG42" s="73"/>
      <c r="EAH42" s="73"/>
      <c r="EAI42" s="73"/>
      <c r="EAJ42" s="73"/>
      <c r="EAK42" s="73"/>
      <c r="EAL42" s="73"/>
      <c r="EAM42" s="73"/>
      <c r="EAN42" s="73"/>
      <c r="EAO42" s="73"/>
      <c r="EAP42" s="73"/>
      <c r="EAQ42" s="73"/>
      <c r="EAR42" s="73"/>
      <c r="EAS42" s="73"/>
      <c r="EAT42" s="73"/>
      <c r="EAU42" s="73"/>
      <c r="EAV42" s="73"/>
      <c r="EAW42" s="73"/>
      <c r="EAX42" s="73"/>
      <c r="EAY42" s="73"/>
      <c r="EAZ42" s="73"/>
      <c r="EBA42" s="73"/>
      <c r="EBB42" s="73"/>
      <c r="EBC42" s="73"/>
      <c r="EBD42" s="73"/>
      <c r="EBE42" s="73"/>
      <c r="EBF42" s="73"/>
      <c r="EBG42" s="73"/>
      <c r="EBH42" s="73"/>
      <c r="EBI42" s="73"/>
      <c r="EBJ42" s="73"/>
      <c r="EBK42" s="73"/>
      <c r="EBL42" s="73"/>
      <c r="EBM42" s="73"/>
      <c r="EBN42" s="73"/>
      <c r="EBO42" s="73"/>
      <c r="EBP42" s="73"/>
      <c r="EBQ42" s="73"/>
      <c r="EBR42" s="73"/>
      <c r="EBS42" s="73"/>
      <c r="EBT42" s="73"/>
      <c r="EBU42" s="73"/>
      <c r="EBV42" s="73"/>
      <c r="EBW42" s="73"/>
      <c r="EBX42" s="73"/>
      <c r="EBY42" s="73"/>
      <c r="EBZ42" s="73"/>
      <c r="ECA42" s="73"/>
      <c r="ECB42" s="73"/>
      <c r="ECC42" s="73"/>
      <c r="ECD42" s="73"/>
      <c r="ECE42" s="73"/>
      <c r="ECF42" s="73"/>
      <c r="ECG42" s="73"/>
      <c r="ECH42" s="73"/>
      <c r="ECI42" s="73"/>
      <c r="ECJ42" s="73"/>
      <c r="ECK42" s="73"/>
      <c r="ECL42" s="73"/>
      <c r="ECM42" s="73"/>
      <c r="ECN42" s="73"/>
      <c r="ECO42" s="73"/>
      <c r="ECP42" s="73"/>
      <c r="ECQ42" s="73"/>
      <c r="ECR42" s="73"/>
      <c r="ECS42" s="73"/>
      <c r="ECT42" s="73"/>
      <c r="ECU42" s="73"/>
      <c r="ECV42" s="73"/>
      <c r="ECW42" s="73"/>
      <c r="ECX42" s="73"/>
      <c r="ECY42" s="73"/>
      <c r="ECZ42" s="73"/>
      <c r="EDA42" s="73"/>
      <c r="EDB42" s="73"/>
      <c r="EDC42" s="73"/>
      <c r="EDD42" s="73"/>
      <c r="EDE42" s="73"/>
      <c r="EDF42" s="73"/>
      <c r="EDG42" s="73"/>
      <c r="EDH42" s="73"/>
      <c r="EDI42" s="73"/>
      <c r="EDJ42" s="73"/>
      <c r="EDK42" s="73"/>
      <c r="EDL42" s="73"/>
      <c r="EDM42" s="73"/>
      <c r="EDN42" s="73"/>
      <c r="EDO42" s="73"/>
      <c r="EDP42" s="73"/>
      <c r="EDQ42" s="73"/>
      <c r="EDR42" s="73"/>
      <c r="EDS42" s="73"/>
      <c r="EDT42" s="73"/>
      <c r="EDU42" s="73"/>
      <c r="EDV42" s="73"/>
      <c r="EDW42" s="73"/>
      <c r="EDX42" s="73"/>
      <c r="EDY42" s="73"/>
      <c r="EDZ42" s="73"/>
      <c r="EEA42" s="73"/>
      <c r="EEB42" s="73"/>
      <c r="EEC42" s="73"/>
      <c r="EED42" s="73"/>
      <c r="EEE42" s="73"/>
      <c r="EEF42" s="73"/>
      <c r="EEG42" s="73"/>
      <c r="EEH42" s="73"/>
      <c r="EEI42" s="73"/>
      <c r="EEJ42" s="73"/>
      <c r="EEK42" s="73"/>
      <c r="EEL42" s="73"/>
      <c r="EEM42" s="73"/>
      <c r="EEN42" s="73"/>
      <c r="EEO42" s="73"/>
      <c r="EEP42" s="73"/>
      <c r="EEQ42" s="73"/>
      <c r="EER42" s="73"/>
      <c r="EES42" s="73"/>
      <c r="EET42" s="73"/>
      <c r="EEU42" s="73"/>
      <c r="EEV42" s="73"/>
      <c r="EEW42" s="73"/>
      <c r="EEX42" s="73"/>
      <c r="EEY42" s="73"/>
      <c r="EEZ42" s="73"/>
      <c r="EFA42" s="73"/>
      <c r="EFB42" s="73"/>
      <c r="EFC42" s="73"/>
      <c r="EFD42" s="73"/>
      <c r="EFE42" s="73"/>
      <c r="EFF42" s="73"/>
      <c r="EFG42" s="73"/>
      <c r="EFH42" s="73"/>
      <c r="EFI42" s="73"/>
      <c r="EFJ42" s="73"/>
      <c r="EFK42" s="73"/>
      <c r="EFL42" s="73"/>
      <c r="EFM42" s="73"/>
      <c r="EFN42" s="73"/>
      <c r="EFO42" s="73"/>
      <c r="EFP42" s="73"/>
      <c r="EFQ42" s="73"/>
      <c r="EFR42" s="73"/>
      <c r="EFS42" s="73"/>
      <c r="EFT42" s="73"/>
      <c r="EFU42" s="73"/>
      <c r="EFV42" s="73"/>
      <c r="EFW42" s="73"/>
      <c r="EFX42" s="73"/>
      <c r="EFY42" s="73"/>
      <c r="EFZ42" s="73"/>
      <c r="EGA42" s="73"/>
      <c r="EGB42" s="73"/>
      <c r="EGC42" s="73"/>
      <c r="EGD42" s="73"/>
      <c r="EGE42" s="73"/>
      <c r="EGF42" s="73"/>
      <c r="EGG42" s="73"/>
      <c r="EGH42" s="73"/>
      <c r="EGI42" s="73"/>
      <c r="EGJ42" s="73"/>
      <c r="EGK42" s="73"/>
      <c r="EGL42" s="73"/>
      <c r="EGM42" s="73"/>
      <c r="EGN42" s="73"/>
      <c r="EGO42" s="73"/>
      <c r="EGP42" s="73"/>
      <c r="EGQ42" s="73"/>
      <c r="EGR42" s="73"/>
      <c r="EGS42" s="73"/>
      <c r="EGT42" s="73"/>
      <c r="EGU42" s="73"/>
      <c r="EGV42" s="73"/>
      <c r="EGW42" s="73"/>
      <c r="EGX42" s="73"/>
      <c r="EGY42" s="73"/>
      <c r="EGZ42" s="73"/>
      <c r="EHA42" s="73"/>
      <c r="EHB42" s="73"/>
      <c r="EHC42" s="73"/>
      <c r="EHD42" s="73"/>
      <c r="EHE42" s="73"/>
      <c r="EHF42" s="73"/>
      <c r="EHG42" s="73"/>
      <c r="EHH42" s="73"/>
      <c r="EHI42" s="73"/>
      <c r="EHJ42" s="73"/>
      <c r="EHK42" s="73"/>
      <c r="EHL42" s="73"/>
      <c r="EHM42" s="73"/>
      <c r="EHN42" s="73"/>
      <c r="EHO42" s="73"/>
      <c r="EHP42" s="73"/>
      <c r="EHQ42" s="73"/>
      <c r="EHR42" s="73"/>
      <c r="EHS42" s="73"/>
      <c r="EHT42" s="73"/>
      <c r="EHU42" s="73"/>
      <c r="EHV42" s="73"/>
      <c r="EHW42" s="73"/>
      <c r="EHX42" s="73"/>
      <c r="EHY42" s="73"/>
      <c r="EHZ42" s="73"/>
      <c r="EIA42" s="73"/>
      <c r="EIB42" s="73"/>
      <c r="EIC42" s="73"/>
      <c r="EID42" s="73"/>
      <c r="EIE42" s="73"/>
      <c r="EIF42" s="73"/>
      <c r="EIG42" s="73"/>
      <c r="EIH42" s="73"/>
      <c r="EII42" s="73"/>
      <c r="EIJ42" s="73"/>
      <c r="EIK42" s="73"/>
      <c r="EIL42" s="73"/>
      <c r="EIM42" s="73"/>
      <c r="EIN42" s="73"/>
      <c r="EIO42" s="73"/>
      <c r="EIP42" s="73"/>
      <c r="EIQ42" s="73"/>
      <c r="EIR42" s="73"/>
      <c r="EIS42" s="73"/>
      <c r="EIT42" s="73"/>
      <c r="EIU42" s="73"/>
      <c r="EIV42" s="73"/>
      <c r="EIW42" s="73"/>
      <c r="EIX42" s="73"/>
      <c r="EIY42" s="73"/>
      <c r="EIZ42" s="73"/>
      <c r="EJA42" s="73"/>
      <c r="EJB42" s="73"/>
      <c r="EJC42" s="73"/>
      <c r="EJD42" s="73"/>
      <c r="EJE42" s="73"/>
      <c r="EJF42" s="73"/>
      <c r="EJG42" s="73"/>
      <c r="EJH42" s="73"/>
      <c r="EJI42" s="73"/>
      <c r="EJJ42" s="73"/>
      <c r="EJK42" s="73"/>
      <c r="EJL42" s="73"/>
      <c r="EJM42" s="73"/>
      <c r="EJN42" s="73"/>
      <c r="EJO42" s="73"/>
      <c r="EJP42" s="73"/>
      <c r="EJQ42" s="73"/>
      <c r="EJR42" s="73"/>
      <c r="EJS42" s="73"/>
      <c r="EJT42" s="73"/>
      <c r="EJU42" s="73"/>
      <c r="EJV42" s="73"/>
      <c r="EJW42" s="73"/>
      <c r="EJX42" s="73"/>
      <c r="EJY42" s="73"/>
      <c r="EJZ42" s="73"/>
      <c r="EKA42" s="73"/>
      <c r="EKB42" s="73"/>
      <c r="EKC42" s="73"/>
      <c r="EKD42" s="73"/>
      <c r="EKE42" s="73"/>
      <c r="EKF42" s="73"/>
      <c r="EKG42" s="73"/>
      <c r="EKH42" s="73"/>
      <c r="EKI42" s="73"/>
      <c r="EKJ42" s="73"/>
      <c r="EKK42" s="73"/>
      <c r="EKL42" s="73"/>
      <c r="EKM42" s="73"/>
      <c r="EKN42" s="73"/>
      <c r="EKO42" s="73"/>
      <c r="EKP42" s="73"/>
      <c r="EKQ42" s="73"/>
      <c r="EKR42" s="73"/>
      <c r="EKS42" s="73"/>
      <c r="EKT42" s="73"/>
      <c r="EKU42" s="73"/>
      <c r="EKV42" s="73"/>
      <c r="EKW42" s="73"/>
      <c r="EKX42" s="73"/>
      <c r="EKY42" s="73"/>
      <c r="EKZ42" s="73"/>
      <c r="ELA42" s="73"/>
      <c r="ELB42" s="73"/>
      <c r="ELC42" s="73"/>
      <c r="ELD42" s="73"/>
      <c r="ELE42" s="73"/>
      <c r="ELF42" s="73"/>
      <c r="ELG42" s="73"/>
      <c r="ELH42" s="73"/>
      <c r="ELI42" s="73"/>
      <c r="ELJ42" s="73"/>
      <c r="ELK42" s="73"/>
      <c r="ELL42" s="73"/>
      <c r="ELM42" s="73"/>
      <c r="ELN42" s="73"/>
      <c r="ELO42" s="73"/>
      <c r="ELP42" s="73"/>
      <c r="ELQ42" s="73"/>
      <c r="ELR42" s="73"/>
      <c r="ELS42" s="73"/>
      <c r="ELT42" s="73"/>
      <c r="ELU42" s="73"/>
      <c r="ELV42" s="73"/>
      <c r="ELW42" s="73"/>
      <c r="ELX42" s="73"/>
      <c r="ELY42" s="73"/>
      <c r="ELZ42" s="73"/>
      <c r="EMA42" s="73"/>
      <c r="EMB42" s="73"/>
      <c r="EMC42" s="73"/>
      <c r="EMD42" s="73"/>
      <c r="EME42" s="73"/>
      <c r="EMF42" s="73"/>
      <c r="EMG42" s="73"/>
      <c r="EMH42" s="73"/>
      <c r="EMI42" s="73"/>
      <c r="EMJ42" s="73"/>
      <c r="EMK42" s="73"/>
      <c r="EML42" s="73"/>
      <c r="EMM42" s="73"/>
      <c r="EMN42" s="73"/>
      <c r="EMO42" s="73"/>
      <c r="EMP42" s="73"/>
      <c r="EMQ42" s="73"/>
      <c r="EMR42" s="73"/>
      <c r="EMS42" s="73"/>
      <c r="EMT42" s="73"/>
      <c r="EMU42" s="73"/>
      <c r="EMV42" s="73"/>
      <c r="EMW42" s="73"/>
      <c r="EMX42" s="73"/>
      <c r="EMY42" s="73"/>
      <c r="EMZ42" s="73"/>
      <c r="ENA42" s="73"/>
      <c r="ENB42" s="73"/>
      <c r="ENC42" s="73"/>
      <c r="END42" s="73"/>
      <c r="ENE42" s="73"/>
      <c r="ENF42" s="73"/>
      <c r="ENG42" s="73"/>
      <c r="ENH42" s="73"/>
      <c r="ENI42" s="73"/>
      <c r="ENJ42" s="73"/>
      <c r="ENK42" s="73"/>
      <c r="ENL42" s="73"/>
      <c r="ENM42" s="73"/>
      <c r="ENN42" s="73"/>
      <c r="ENO42" s="73"/>
      <c r="ENP42" s="73"/>
      <c r="ENQ42" s="73"/>
      <c r="ENR42" s="73"/>
      <c r="ENS42" s="73"/>
      <c r="ENT42" s="73"/>
      <c r="ENU42" s="73"/>
      <c r="ENV42" s="73"/>
      <c r="ENW42" s="73"/>
      <c r="ENX42" s="73"/>
      <c r="ENY42" s="73"/>
      <c r="ENZ42" s="73"/>
      <c r="EOA42" s="73"/>
      <c r="EOB42" s="73"/>
      <c r="EOC42" s="73"/>
      <c r="EOD42" s="73"/>
      <c r="EOE42" s="73"/>
      <c r="EOF42" s="73"/>
      <c r="EOG42" s="73"/>
      <c r="EOH42" s="73"/>
      <c r="EOI42" s="73"/>
      <c r="EOJ42" s="73"/>
      <c r="EOK42" s="73"/>
      <c r="EOL42" s="73"/>
      <c r="EOM42" s="73"/>
      <c r="EON42" s="73"/>
      <c r="EOO42" s="73"/>
      <c r="EOP42" s="73"/>
      <c r="EOQ42" s="73"/>
      <c r="EOR42" s="73"/>
      <c r="EOS42" s="73"/>
      <c r="EOT42" s="73"/>
      <c r="EOU42" s="73"/>
      <c r="EOV42" s="73"/>
      <c r="EOW42" s="73"/>
      <c r="EOX42" s="73"/>
      <c r="EOY42" s="73"/>
      <c r="EOZ42" s="73"/>
      <c r="EPA42" s="73"/>
      <c r="EPB42" s="73"/>
      <c r="EPC42" s="73"/>
      <c r="EPD42" s="73"/>
      <c r="EPE42" s="73"/>
      <c r="EPF42" s="73"/>
      <c r="EPG42" s="73"/>
      <c r="EPH42" s="73"/>
      <c r="EPI42" s="73"/>
      <c r="EPJ42" s="73"/>
      <c r="EPK42" s="73"/>
      <c r="EPL42" s="73"/>
      <c r="EPM42" s="73"/>
      <c r="EPN42" s="73"/>
      <c r="EPO42" s="73"/>
      <c r="EPP42" s="73"/>
      <c r="EPQ42" s="73"/>
      <c r="EPR42" s="73"/>
      <c r="EPS42" s="73"/>
      <c r="EPT42" s="73"/>
      <c r="EPU42" s="73"/>
      <c r="EPV42" s="73"/>
      <c r="EPW42" s="73"/>
      <c r="EPX42" s="73"/>
      <c r="EPY42" s="73"/>
      <c r="EPZ42" s="73"/>
      <c r="EQA42" s="73"/>
      <c r="EQB42" s="73"/>
      <c r="EQC42" s="73"/>
      <c r="EQD42" s="73"/>
      <c r="EQE42" s="73"/>
      <c r="EQF42" s="73"/>
      <c r="EQG42" s="73"/>
      <c r="EQH42" s="73"/>
      <c r="EQI42" s="73"/>
      <c r="EQJ42" s="73"/>
      <c r="EQK42" s="73"/>
      <c r="EQL42" s="73"/>
      <c r="EQM42" s="73"/>
      <c r="EQN42" s="73"/>
      <c r="EQO42" s="73"/>
      <c r="EQP42" s="73"/>
      <c r="EQQ42" s="73"/>
      <c r="EQR42" s="73"/>
      <c r="EQS42" s="73"/>
      <c r="EQT42" s="73"/>
      <c r="EQU42" s="73"/>
      <c r="EQV42" s="73"/>
      <c r="EQW42" s="73"/>
      <c r="EQX42" s="73"/>
      <c r="EQY42" s="73"/>
      <c r="EQZ42" s="73"/>
      <c r="ERA42" s="73"/>
      <c r="ERB42" s="73"/>
      <c r="ERC42" s="73"/>
      <c r="ERD42" s="73"/>
      <c r="ERE42" s="73"/>
      <c r="ERF42" s="73"/>
      <c r="ERG42" s="73"/>
      <c r="ERH42" s="73"/>
      <c r="ERI42" s="73"/>
      <c r="ERJ42" s="73"/>
      <c r="ERK42" s="73"/>
      <c r="ERL42" s="73"/>
      <c r="ERM42" s="73"/>
      <c r="ERN42" s="73"/>
      <c r="ERO42" s="73"/>
      <c r="ERP42" s="73"/>
      <c r="ERQ42" s="73"/>
      <c r="ERR42" s="73"/>
      <c r="ERS42" s="73"/>
      <c r="ERT42" s="73"/>
      <c r="ERU42" s="73"/>
      <c r="ERV42" s="73"/>
      <c r="ERW42" s="73"/>
      <c r="ERX42" s="73"/>
      <c r="ERY42" s="73"/>
      <c r="ERZ42" s="73"/>
      <c r="ESA42" s="73"/>
      <c r="ESB42" s="73"/>
      <c r="ESC42" s="73"/>
      <c r="ESD42" s="73"/>
      <c r="ESE42" s="73"/>
      <c r="ESF42" s="73"/>
      <c r="ESG42" s="73"/>
      <c r="ESH42" s="73"/>
      <c r="ESI42" s="73"/>
      <c r="ESJ42" s="73"/>
      <c r="ESK42" s="73"/>
      <c r="ESL42" s="73"/>
      <c r="ESM42" s="73"/>
      <c r="ESN42" s="73"/>
      <c r="ESO42" s="73"/>
      <c r="ESP42" s="73"/>
      <c r="ESQ42" s="73"/>
      <c r="ESR42" s="73"/>
      <c r="ESS42" s="73"/>
      <c r="EST42" s="73"/>
      <c r="ESU42" s="73"/>
      <c r="ESV42" s="73"/>
      <c r="ESW42" s="73"/>
      <c r="ESX42" s="73"/>
      <c r="ESY42" s="73"/>
      <c r="ESZ42" s="73"/>
      <c r="ETA42" s="73"/>
      <c r="ETB42" s="73"/>
      <c r="ETC42" s="73"/>
      <c r="ETD42" s="73"/>
      <c r="ETE42" s="73"/>
      <c r="ETF42" s="73"/>
      <c r="ETG42" s="73"/>
      <c r="ETH42" s="73"/>
      <c r="ETI42" s="73"/>
      <c r="ETJ42" s="73"/>
      <c r="ETK42" s="73"/>
      <c r="ETL42" s="73"/>
      <c r="ETM42" s="73"/>
      <c r="ETN42" s="73"/>
      <c r="ETO42" s="73"/>
      <c r="ETP42" s="73"/>
      <c r="ETQ42" s="73"/>
      <c r="ETR42" s="73"/>
      <c r="ETS42" s="73"/>
      <c r="ETT42" s="73"/>
      <c r="ETU42" s="73"/>
      <c r="ETV42" s="73"/>
      <c r="ETW42" s="73"/>
      <c r="ETX42" s="73"/>
      <c r="ETY42" s="73"/>
      <c r="ETZ42" s="73"/>
      <c r="EUA42" s="73"/>
      <c r="EUB42" s="73"/>
      <c r="EUC42" s="73"/>
      <c r="EUD42" s="73"/>
      <c r="EUE42" s="73"/>
      <c r="EUF42" s="73"/>
      <c r="EUG42" s="73"/>
      <c r="EUH42" s="73"/>
      <c r="EUI42" s="73"/>
      <c r="EUJ42" s="73"/>
      <c r="EUK42" s="73"/>
      <c r="EUL42" s="73"/>
      <c r="EUM42" s="73"/>
      <c r="EUN42" s="73"/>
      <c r="EUO42" s="73"/>
      <c r="EUP42" s="73"/>
      <c r="EUQ42" s="73"/>
      <c r="EUR42" s="73"/>
      <c r="EUS42" s="73"/>
      <c r="EUT42" s="73"/>
      <c r="EUU42" s="73"/>
      <c r="EUV42" s="73"/>
      <c r="EUW42" s="73"/>
      <c r="EUX42" s="73"/>
      <c r="EUY42" s="73"/>
      <c r="EUZ42" s="73"/>
      <c r="EVA42" s="73"/>
      <c r="EVB42" s="73"/>
      <c r="EVC42" s="73"/>
      <c r="EVD42" s="73"/>
      <c r="EVE42" s="73"/>
      <c r="EVF42" s="73"/>
      <c r="EVG42" s="73"/>
      <c r="EVH42" s="73"/>
      <c r="EVI42" s="73"/>
      <c r="EVJ42" s="73"/>
      <c r="EVK42" s="73"/>
      <c r="EVL42" s="73"/>
      <c r="EVM42" s="73"/>
      <c r="EVN42" s="73"/>
      <c r="EVO42" s="73"/>
      <c r="EVP42" s="73"/>
      <c r="EVQ42" s="73"/>
      <c r="EVR42" s="73"/>
      <c r="EVS42" s="73"/>
      <c r="EVT42" s="73"/>
      <c r="EVU42" s="73"/>
      <c r="EVV42" s="73"/>
      <c r="EVW42" s="73"/>
      <c r="EVX42" s="73"/>
      <c r="EVY42" s="73"/>
      <c r="EVZ42" s="73"/>
      <c r="EWA42" s="73"/>
      <c r="EWB42" s="73"/>
      <c r="EWC42" s="73"/>
      <c r="EWD42" s="73"/>
      <c r="EWE42" s="73"/>
      <c r="EWF42" s="73"/>
      <c r="EWG42" s="73"/>
      <c r="EWH42" s="73"/>
      <c r="EWI42" s="73"/>
      <c r="EWJ42" s="73"/>
      <c r="EWK42" s="73"/>
      <c r="EWL42" s="73"/>
      <c r="EWM42" s="73"/>
      <c r="EWN42" s="73"/>
      <c r="EWO42" s="73"/>
      <c r="EWP42" s="73"/>
      <c r="EWQ42" s="73"/>
      <c r="EWR42" s="73"/>
      <c r="EWS42" s="73"/>
      <c r="EWT42" s="73"/>
      <c r="EWU42" s="73"/>
      <c r="EWV42" s="73"/>
      <c r="EWW42" s="73"/>
      <c r="EWX42" s="73"/>
      <c r="EWY42" s="73"/>
      <c r="EWZ42" s="73"/>
      <c r="EXA42" s="73"/>
      <c r="EXB42" s="73"/>
      <c r="EXC42" s="73"/>
      <c r="EXD42" s="73"/>
      <c r="EXE42" s="73"/>
      <c r="EXF42" s="73"/>
      <c r="EXG42" s="73"/>
      <c r="EXH42" s="73"/>
      <c r="EXI42" s="73"/>
      <c r="EXJ42" s="73"/>
      <c r="EXK42" s="73"/>
      <c r="EXL42" s="73"/>
      <c r="EXM42" s="73"/>
      <c r="EXN42" s="73"/>
      <c r="EXO42" s="73"/>
      <c r="EXP42" s="73"/>
      <c r="EXQ42" s="73"/>
      <c r="EXR42" s="73"/>
      <c r="EXS42" s="73"/>
      <c r="EXT42" s="73"/>
      <c r="EXU42" s="73"/>
      <c r="EXV42" s="73"/>
      <c r="EXW42" s="73"/>
      <c r="EXX42" s="73"/>
      <c r="EXY42" s="73"/>
      <c r="EXZ42" s="73"/>
      <c r="EYA42" s="73"/>
      <c r="EYB42" s="73"/>
      <c r="EYC42" s="73"/>
      <c r="EYD42" s="73"/>
      <c r="EYE42" s="73"/>
      <c r="EYF42" s="73"/>
      <c r="EYG42" s="73"/>
      <c r="EYH42" s="73"/>
      <c r="EYI42" s="73"/>
      <c r="EYJ42" s="73"/>
      <c r="EYK42" s="73"/>
      <c r="EYL42" s="73"/>
      <c r="EYM42" s="73"/>
      <c r="EYN42" s="73"/>
      <c r="EYO42" s="73"/>
      <c r="EYP42" s="73"/>
      <c r="EYQ42" s="73"/>
      <c r="EYR42" s="73"/>
      <c r="EYS42" s="73"/>
      <c r="EYT42" s="73"/>
      <c r="EYU42" s="73"/>
      <c r="EYV42" s="73"/>
      <c r="EYW42" s="73"/>
      <c r="EYX42" s="73"/>
      <c r="EYY42" s="73"/>
      <c r="EYZ42" s="73"/>
      <c r="EZA42" s="73"/>
      <c r="EZB42" s="73"/>
      <c r="EZC42" s="73"/>
      <c r="EZD42" s="73"/>
      <c r="EZE42" s="73"/>
      <c r="EZF42" s="73"/>
      <c r="EZG42" s="73"/>
      <c r="EZH42" s="73"/>
      <c r="EZI42" s="73"/>
      <c r="EZJ42" s="73"/>
      <c r="EZK42" s="73"/>
      <c r="EZL42" s="73"/>
      <c r="EZM42" s="73"/>
      <c r="EZN42" s="73"/>
      <c r="EZO42" s="73"/>
      <c r="EZP42" s="73"/>
      <c r="EZQ42" s="73"/>
      <c r="EZR42" s="73"/>
      <c r="EZS42" s="73"/>
      <c r="EZT42" s="73"/>
      <c r="EZU42" s="73"/>
      <c r="EZV42" s="73"/>
      <c r="EZW42" s="73"/>
      <c r="EZX42" s="73"/>
      <c r="EZY42" s="73"/>
      <c r="EZZ42" s="73"/>
      <c r="FAA42" s="73"/>
      <c r="FAB42" s="73"/>
      <c r="FAC42" s="73"/>
      <c r="FAD42" s="73"/>
      <c r="FAE42" s="73"/>
      <c r="FAF42" s="73"/>
      <c r="FAG42" s="73"/>
      <c r="FAH42" s="73"/>
      <c r="FAI42" s="73"/>
      <c r="FAJ42" s="73"/>
      <c r="FAK42" s="73"/>
      <c r="FAL42" s="73"/>
      <c r="FAM42" s="73"/>
      <c r="FAN42" s="73"/>
      <c r="FAO42" s="73"/>
      <c r="FAP42" s="73"/>
      <c r="FAQ42" s="73"/>
      <c r="FAR42" s="73"/>
      <c r="FAS42" s="73"/>
      <c r="FAT42" s="73"/>
      <c r="FAU42" s="73"/>
      <c r="FAV42" s="73"/>
      <c r="FAW42" s="73"/>
      <c r="FAX42" s="73"/>
      <c r="FAY42" s="73"/>
      <c r="FAZ42" s="73"/>
      <c r="FBA42" s="73"/>
      <c r="FBB42" s="73"/>
      <c r="FBC42" s="73"/>
      <c r="FBD42" s="73"/>
      <c r="FBE42" s="73"/>
      <c r="FBF42" s="73"/>
      <c r="FBG42" s="73"/>
      <c r="FBH42" s="73"/>
      <c r="FBI42" s="73"/>
      <c r="FBJ42" s="73"/>
      <c r="FBK42" s="73"/>
      <c r="FBL42" s="73"/>
      <c r="FBM42" s="73"/>
      <c r="FBN42" s="73"/>
      <c r="FBO42" s="73"/>
      <c r="FBP42" s="73"/>
      <c r="FBQ42" s="73"/>
      <c r="FBR42" s="73"/>
      <c r="FBS42" s="73"/>
      <c r="FBT42" s="73"/>
      <c r="FBU42" s="73"/>
      <c r="FBV42" s="73"/>
      <c r="FBW42" s="73"/>
      <c r="FBX42" s="73"/>
      <c r="FBY42" s="73"/>
      <c r="FBZ42" s="73"/>
      <c r="FCA42" s="73"/>
      <c r="FCB42" s="73"/>
      <c r="FCC42" s="73"/>
      <c r="FCD42" s="73"/>
      <c r="FCE42" s="73"/>
      <c r="FCF42" s="73"/>
      <c r="FCG42" s="73"/>
      <c r="FCH42" s="73"/>
      <c r="FCI42" s="73"/>
      <c r="FCJ42" s="73"/>
      <c r="FCK42" s="73"/>
      <c r="FCL42" s="73"/>
      <c r="FCM42" s="73"/>
      <c r="FCN42" s="73"/>
      <c r="FCO42" s="73"/>
      <c r="FCP42" s="73"/>
      <c r="FCQ42" s="73"/>
      <c r="FCR42" s="73"/>
      <c r="FCS42" s="73"/>
      <c r="FCT42" s="73"/>
      <c r="FCU42" s="73"/>
      <c r="FCV42" s="73"/>
      <c r="FCW42" s="73"/>
      <c r="FCX42" s="73"/>
      <c r="FCY42" s="73"/>
      <c r="FCZ42" s="73"/>
      <c r="FDA42" s="73"/>
      <c r="FDB42" s="73"/>
      <c r="FDC42" s="73"/>
      <c r="FDD42" s="73"/>
      <c r="FDE42" s="73"/>
      <c r="FDF42" s="73"/>
      <c r="FDG42" s="73"/>
      <c r="FDH42" s="73"/>
      <c r="FDI42" s="73"/>
      <c r="FDJ42" s="73"/>
      <c r="FDK42" s="73"/>
      <c r="FDL42" s="73"/>
      <c r="FDM42" s="73"/>
      <c r="FDN42" s="73"/>
      <c r="FDO42" s="73"/>
      <c r="FDP42" s="73"/>
      <c r="FDQ42" s="73"/>
      <c r="FDR42" s="73"/>
      <c r="FDS42" s="73"/>
      <c r="FDT42" s="73"/>
      <c r="FDU42" s="73"/>
      <c r="FDV42" s="73"/>
      <c r="FDW42" s="73"/>
      <c r="FDX42" s="73"/>
      <c r="FDY42" s="73"/>
      <c r="FDZ42" s="73"/>
      <c r="FEA42" s="73"/>
      <c r="FEB42" s="73"/>
      <c r="FEC42" s="73"/>
      <c r="FED42" s="73"/>
      <c r="FEE42" s="73"/>
      <c r="FEF42" s="73"/>
      <c r="FEG42" s="73"/>
      <c r="FEH42" s="73"/>
      <c r="FEI42" s="73"/>
      <c r="FEJ42" s="73"/>
      <c r="FEK42" s="73"/>
      <c r="FEL42" s="73"/>
      <c r="FEM42" s="73"/>
      <c r="FEN42" s="73"/>
      <c r="FEO42" s="73"/>
      <c r="FEP42" s="73"/>
      <c r="FEQ42" s="73"/>
      <c r="FER42" s="73"/>
      <c r="FES42" s="73"/>
      <c r="FET42" s="73"/>
      <c r="FEU42" s="73"/>
      <c r="FEV42" s="73"/>
      <c r="FEW42" s="73"/>
      <c r="FEX42" s="73"/>
      <c r="FEY42" s="73"/>
      <c r="FEZ42" s="73"/>
      <c r="FFA42" s="73"/>
      <c r="FFB42" s="73"/>
      <c r="FFC42" s="73"/>
      <c r="FFD42" s="73"/>
      <c r="FFE42" s="73"/>
      <c r="FFF42" s="73"/>
      <c r="FFG42" s="73"/>
      <c r="FFH42" s="73"/>
      <c r="FFI42" s="73"/>
      <c r="FFJ42" s="73"/>
      <c r="FFK42" s="73"/>
      <c r="FFL42" s="73"/>
      <c r="FFM42" s="73"/>
      <c r="FFN42" s="73"/>
      <c r="FFO42" s="73"/>
      <c r="FFP42" s="73"/>
      <c r="FFQ42" s="73"/>
      <c r="FFR42" s="73"/>
      <c r="FFS42" s="73"/>
      <c r="FFT42" s="73"/>
      <c r="FFU42" s="73"/>
      <c r="FFV42" s="73"/>
      <c r="FFW42" s="73"/>
      <c r="FFX42" s="73"/>
      <c r="FFY42" s="73"/>
      <c r="FFZ42" s="73"/>
      <c r="FGA42" s="73"/>
      <c r="FGB42" s="73"/>
      <c r="FGC42" s="73"/>
      <c r="FGD42" s="73"/>
      <c r="FGE42" s="73"/>
      <c r="FGF42" s="73"/>
      <c r="FGG42" s="73"/>
      <c r="FGH42" s="73"/>
      <c r="FGI42" s="73"/>
      <c r="FGJ42" s="73"/>
      <c r="FGK42" s="73"/>
      <c r="FGL42" s="73"/>
      <c r="FGM42" s="73"/>
      <c r="FGN42" s="73"/>
      <c r="FGO42" s="73"/>
      <c r="FGP42" s="73"/>
      <c r="FGQ42" s="73"/>
      <c r="FGR42" s="73"/>
      <c r="FGS42" s="73"/>
      <c r="FGT42" s="73"/>
      <c r="FGU42" s="73"/>
      <c r="FGV42" s="73"/>
      <c r="FGW42" s="73"/>
      <c r="FGX42" s="73"/>
      <c r="FGY42" s="73"/>
      <c r="FGZ42" s="73"/>
      <c r="FHA42" s="73"/>
      <c r="FHB42" s="73"/>
      <c r="FHC42" s="73"/>
      <c r="FHD42" s="73"/>
      <c r="FHE42" s="73"/>
      <c r="FHF42" s="73"/>
      <c r="FHG42" s="73"/>
      <c r="FHH42" s="73"/>
      <c r="FHI42" s="73"/>
      <c r="FHJ42" s="73"/>
      <c r="FHK42" s="73"/>
      <c r="FHL42" s="73"/>
      <c r="FHM42" s="73"/>
      <c r="FHN42" s="73"/>
      <c r="FHO42" s="73"/>
      <c r="FHP42" s="73"/>
      <c r="FHQ42" s="73"/>
      <c r="FHR42" s="73"/>
      <c r="FHS42" s="73"/>
      <c r="FHT42" s="73"/>
      <c r="FHU42" s="73"/>
      <c r="FHV42" s="73"/>
      <c r="FHW42" s="73"/>
      <c r="FHX42" s="73"/>
      <c r="FHY42" s="73"/>
      <c r="FHZ42" s="73"/>
      <c r="FIA42" s="73"/>
      <c r="FIB42" s="73"/>
      <c r="FIC42" s="73"/>
      <c r="FID42" s="73"/>
      <c r="FIE42" s="73"/>
      <c r="FIF42" s="73"/>
      <c r="FIG42" s="73"/>
      <c r="FIH42" s="73"/>
      <c r="FII42" s="73"/>
      <c r="FIJ42" s="73"/>
      <c r="FIK42" s="73"/>
      <c r="FIL42" s="73"/>
      <c r="FIM42" s="73"/>
      <c r="FIN42" s="73"/>
      <c r="FIO42" s="73"/>
      <c r="FIP42" s="73"/>
      <c r="FIQ42" s="73"/>
      <c r="FIR42" s="73"/>
      <c r="FIS42" s="73"/>
      <c r="FIT42" s="73"/>
      <c r="FIU42" s="73"/>
      <c r="FIV42" s="73"/>
      <c r="FIW42" s="73"/>
      <c r="FIX42" s="73"/>
      <c r="FIY42" s="73"/>
      <c r="FIZ42" s="73"/>
      <c r="FJA42" s="73"/>
      <c r="FJB42" s="73"/>
      <c r="FJC42" s="73"/>
      <c r="FJD42" s="73"/>
      <c r="FJE42" s="73"/>
      <c r="FJF42" s="73"/>
      <c r="FJG42" s="73"/>
      <c r="FJH42" s="73"/>
      <c r="FJI42" s="73"/>
      <c r="FJJ42" s="73"/>
      <c r="FJK42" s="73"/>
      <c r="FJL42" s="73"/>
      <c r="FJM42" s="73"/>
      <c r="FJN42" s="73"/>
      <c r="FJO42" s="73"/>
      <c r="FJP42" s="73"/>
      <c r="FJQ42" s="73"/>
      <c r="FJR42" s="73"/>
      <c r="FJS42" s="73"/>
      <c r="FJT42" s="73"/>
      <c r="FJU42" s="73"/>
      <c r="FJV42" s="73"/>
      <c r="FJW42" s="73"/>
      <c r="FJX42" s="73"/>
      <c r="FJY42" s="73"/>
      <c r="FJZ42" s="73"/>
      <c r="FKA42" s="73"/>
      <c r="FKB42" s="73"/>
      <c r="FKC42" s="73"/>
      <c r="FKD42" s="73"/>
      <c r="FKE42" s="73"/>
      <c r="FKF42" s="73"/>
      <c r="FKG42" s="73"/>
      <c r="FKH42" s="73"/>
      <c r="FKI42" s="73"/>
      <c r="FKJ42" s="73"/>
      <c r="FKK42" s="73"/>
      <c r="FKL42" s="73"/>
      <c r="FKM42" s="73"/>
      <c r="FKN42" s="73"/>
      <c r="FKO42" s="73"/>
      <c r="FKP42" s="73"/>
      <c r="FKQ42" s="73"/>
      <c r="FKR42" s="73"/>
      <c r="FKS42" s="73"/>
      <c r="FKT42" s="73"/>
      <c r="FKU42" s="73"/>
      <c r="FKV42" s="73"/>
      <c r="FKW42" s="73"/>
      <c r="FKX42" s="73"/>
      <c r="FKY42" s="73"/>
      <c r="FKZ42" s="73"/>
      <c r="FLA42" s="73"/>
      <c r="FLB42" s="73"/>
      <c r="FLC42" s="73"/>
      <c r="FLD42" s="73"/>
      <c r="FLE42" s="73"/>
      <c r="FLF42" s="73"/>
      <c r="FLG42" s="73"/>
      <c r="FLH42" s="73"/>
      <c r="FLI42" s="73"/>
      <c r="FLJ42" s="73"/>
      <c r="FLK42" s="73"/>
      <c r="FLL42" s="73"/>
      <c r="FLM42" s="73"/>
      <c r="FLN42" s="73"/>
      <c r="FLO42" s="73"/>
      <c r="FLP42" s="73"/>
      <c r="FLQ42" s="73"/>
      <c r="FLR42" s="73"/>
      <c r="FLS42" s="73"/>
      <c r="FLT42" s="73"/>
      <c r="FLU42" s="73"/>
      <c r="FLV42" s="73"/>
      <c r="FLW42" s="73"/>
      <c r="FLX42" s="73"/>
      <c r="FLY42" s="73"/>
      <c r="FLZ42" s="73"/>
      <c r="FMA42" s="73"/>
      <c r="FMB42" s="73"/>
      <c r="FMC42" s="73"/>
      <c r="FMD42" s="73"/>
      <c r="FME42" s="73"/>
      <c r="FMF42" s="73"/>
      <c r="FMG42" s="73"/>
      <c r="FMH42" s="73"/>
      <c r="FMI42" s="73"/>
      <c r="FMJ42" s="73"/>
      <c r="FMK42" s="73"/>
      <c r="FML42" s="73"/>
      <c r="FMM42" s="73"/>
      <c r="FMN42" s="73"/>
      <c r="FMO42" s="73"/>
      <c r="FMP42" s="73"/>
      <c r="FMQ42" s="73"/>
      <c r="FMR42" s="73"/>
      <c r="FMS42" s="73"/>
      <c r="FMT42" s="73"/>
      <c r="FMU42" s="73"/>
      <c r="FMV42" s="73"/>
      <c r="FMW42" s="73"/>
      <c r="FMX42" s="73"/>
      <c r="FMY42" s="73"/>
      <c r="FMZ42" s="73"/>
      <c r="FNA42" s="73"/>
      <c r="FNB42" s="73"/>
      <c r="FNC42" s="73"/>
      <c r="FND42" s="73"/>
      <c r="FNE42" s="73"/>
      <c r="FNF42" s="73"/>
      <c r="FNG42" s="73"/>
      <c r="FNH42" s="73"/>
      <c r="FNI42" s="73"/>
      <c r="FNJ42" s="73"/>
      <c r="FNK42" s="73"/>
      <c r="FNL42" s="73"/>
      <c r="FNM42" s="73"/>
      <c r="FNN42" s="73"/>
      <c r="FNO42" s="73"/>
      <c r="FNP42" s="73"/>
      <c r="FNQ42" s="73"/>
      <c r="FNR42" s="73"/>
      <c r="FNS42" s="73"/>
      <c r="FNT42" s="73"/>
      <c r="FNU42" s="73"/>
      <c r="FNV42" s="73"/>
      <c r="FNW42" s="73"/>
      <c r="FNX42" s="73"/>
      <c r="FNY42" s="73"/>
      <c r="FNZ42" s="73"/>
      <c r="FOA42" s="73"/>
      <c r="FOB42" s="73"/>
      <c r="FOC42" s="73"/>
      <c r="FOD42" s="73"/>
      <c r="FOE42" s="73"/>
      <c r="FOF42" s="73"/>
      <c r="FOG42" s="73"/>
      <c r="FOH42" s="73"/>
      <c r="FOI42" s="73"/>
      <c r="FOJ42" s="73"/>
      <c r="FOK42" s="73"/>
      <c r="FOL42" s="73"/>
      <c r="FOM42" s="73"/>
      <c r="FON42" s="73"/>
      <c r="FOO42" s="73"/>
      <c r="FOP42" s="73"/>
      <c r="FOQ42" s="73"/>
      <c r="FOR42" s="73"/>
      <c r="FOS42" s="73"/>
      <c r="FOT42" s="73"/>
      <c r="FOU42" s="73"/>
      <c r="FOV42" s="73"/>
      <c r="FOW42" s="73"/>
      <c r="FOX42" s="73"/>
      <c r="FOY42" s="73"/>
      <c r="FOZ42" s="73"/>
      <c r="FPA42" s="73"/>
      <c r="FPB42" s="73"/>
      <c r="FPC42" s="73"/>
      <c r="FPD42" s="73"/>
      <c r="FPE42" s="73"/>
      <c r="FPF42" s="73"/>
      <c r="FPG42" s="73"/>
      <c r="FPH42" s="73"/>
      <c r="FPI42" s="73"/>
      <c r="FPJ42" s="73"/>
      <c r="FPK42" s="73"/>
      <c r="FPL42" s="73"/>
      <c r="FPM42" s="73"/>
      <c r="FPN42" s="73"/>
      <c r="FPO42" s="73"/>
      <c r="FPP42" s="73"/>
      <c r="FPQ42" s="73"/>
      <c r="FPR42" s="73"/>
      <c r="FPS42" s="73"/>
      <c r="FPT42" s="73"/>
      <c r="FPU42" s="73"/>
      <c r="FPV42" s="73"/>
      <c r="FPW42" s="73"/>
      <c r="FPX42" s="73"/>
      <c r="FPY42" s="73"/>
      <c r="FPZ42" s="73"/>
      <c r="FQA42" s="73"/>
      <c r="FQB42" s="73"/>
      <c r="FQC42" s="73"/>
      <c r="FQD42" s="73"/>
      <c r="FQE42" s="73"/>
      <c r="FQF42" s="73"/>
      <c r="FQG42" s="73"/>
      <c r="FQH42" s="73"/>
      <c r="FQI42" s="73"/>
      <c r="FQJ42" s="73"/>
      <c r="FQK42" s="73"/>
      <c r="FQL42" s="73"/>
      <c r="FQM42" s="73"/>
      <c r="FQN42" s="73"/>
      <c r="FQO42" s="73"/>
      <c r="FQP42" s="73"/>
      <c r="FQQ42" s="73"/>
      <c r="FQR42" s="73"/>
      <c r="FQS42" s="73"/>
      <c r="FQT42" s="73"/>
      <c r="FQU42" s="73"/>
      <c r="FQV42" s="73"/>
      <c r="FQW42" s="73"/>
      <c r="FQX42" s="73"/>
      <c r="FQY42" s="73"/>
      <c r="FQZ42" s="73"/>
      <c r="FRA42" s="73"/>
      <c r="FRB42" s="73"/>
      <c r="FRC42" s="73"/>
      <c r="FRD42" s="73"/>
      <c r="FRE42" s="73"/>
      <c r="FRF42" s="73"/>
      <c r="FRG42" s="73"/>
      <c r="FRH42" s="73"/>
      <c r="FRI42" s="73"/>
      <c r="FRJ42" s="73"/>
      <c r="FRK42" s="73"/>
      <c r="FRL42" s="73"/>
      <c r="FRM42" s="73"/>
      <c r="FRN42" s="73"/>
      <c r="FRO42" s="73"/>
      <c r="FRP42" s="73"/>
      <c r="FRQ42" s="73"/>
      <c r="FRR42" s="73"/>
      <c r="FRS42" s="73"/>
      <c r="FRT42" s="73"/>
      <c r="FRU42" s="73"/>
      <c r="FRV42" s="73"/>
      <c r="FRW42" s="73"/>
      <c r="FRX42" s="73"/>
      <c r="FRY42" s="73"/>
      <c r="FRZ42" s="73"/>
      <c r="FSA42" s="73"/>
      <c r="FSB42" s="73"/>
      <c r="FSC42" s="73"/>
      <c r="FSD42" s="73"/>
      <c r="FSE42" s="73"/>
      <c r="FSF42" s="73"/>
      <c r="FSG42" s="73"/>
      <c r="FSH42" s="73"/>
      <c r="FSI42" s="73"/>
      <c r="FSJ42" s="73"/>
      <c r="FSK42" s="73"/>
      <c r="FSL42" s="73"/>
      <c r="FSM42" s="73"/>
      <c r="FSN42" s="73"/>
      <c r="FSO42" s="73"/>
      <c r="FSP42" s="73"/>
      <c r="FSQ42" s="73"/>
      <c r="FSR42" s="73"/>
      <c r="FSS42" s="73"/>
      <c r="FST42" s="73"/>
      <c r="FSU42" s="73"/>
      <c r="FSV42" s="73"/>
      <c r="FSW42" s="73"/>
      <c r="FSX42" s="73"/>
      <c r="FSY42" s="73"/>
      <c r="FSZ42" s="73"/>
      <c r="FTA42" s="73"/>
      <c r="FTB42" s="73"/>
      <c r="FTC42" s="73"/>
      <c r="FTD42" s="73"/>
      <c r="FTE42" s="73"/>
      <c r="FTF42" s="73"/>
      <c r="FTG42" s="73"/>
      <c r="FTH42" s="73"/>
      <c r="FTI42" s="73"/>
      <c r="FTJ42" s="73"/>
      <c r="FTK42" s="73"/>
      <c r="FTL42" s="73"/>
      <c r="FTM42" s="73"/>
      <c r="FTN42" s="73"/>
      <c r="FTO42" s="73"/>
      <c r="FTP42" s="73"/>
      <c r="FTQ42" s="73"/>
      <c r="FTR42" s="73"/>
      <c r="FTS42" s="73"/>
      <c r="FTT42" s="73"/>
      <c r="FTU42" s="73"/>
      <c r="FTV42" s="73"/>
      <c r="FTW42" s="73"/>
      <c r="FTX42" s="73"/>
      <c r="FTY42" s="73"/>
      <c r="FTZ42" s="73"/>
      <c r="FUA42" s="73"/>
      <c r="FUB42" s="73"/>
      <c r="FUC42" s="73"/>
      <c r="FUD42" s="73"/>
      <c r="FUE42" s="73"/>
      <c r="FUF42" s="73"/>
      <c r="FUG42" s="73"/>
      <c r="FUH42" s="73"/>
      <c r="FUI42" s="73"/>
      <c r="FUJ42" s="73"/>
      <c r="FUK42" s="73"/>
      <c r="FUL42" s="73"/>
      <c r="FUM42" s="73"/>
      <c r="FUN42" s="73"/>
      <c r="FUO42" s="73"/>
      <c r="FUP42" s="73"/>
      <c r="FUQ42" s="73"/>
      <c r="FUR42" s="73"/>
      <c r="FUS42" s="73"/>
      <c r="FUT42" s="73"/>
      <c r="FUU42" s="73"/>
      <c r="FUV42" s="73"/>
      <c r="FUW42" s="73"/>
      <c r="FUX42" s="73"/>
      <c r="FUY42" s="73"/>
      <c r="FUZ42" s="73"/>
      <c r="FVA42" s="73"/>
      <c r="FVB42" s="73"/>
      <c r="FVC42" s="73"/>
      <c r="FVD42" s="73"/>
      <c r="FVE42" s="73"/>
      <c r="FVF42" s="73"/>
      <c r="FVG42" s="73"/>
      <c r="FVH42" s="73"/>
      <c r="FVI42" s="73"/>
      <c r="FVJ42" s="73"/>
      <c r="FVK42" s="73"/>
      <c r="FVL42" s="73"/>
      <c r="FVM42" s="73"/>
      <c r="FVN42" s="73"/>
      <c r="FVO42" s="73"/>
      <c r="FVP42" s="73"/>
      <c r="FVQ42" s="73"/>
      <c r="FVR42" s="73"/>
      <c r="FVS42" s="73"/>
      <c r="FVT42" s="73"/>
      <c r="FVU42" s="73"/>
      <c r="FVV42" s="73"/>
      <c r="FVW42" s="73"/>
      <c r="FVX42" s="73"/>
      <c r="FVY42" s="73"/>
      <c r="FVZ42" s="73"/>
      <c r="FWA42" s="73"/>
      <c r="FWB42" s="73"/>
      <c r="FWC42" s="73"/>
      <c r="FWD42" s="73"/>
      <c r="FWE42" s="73"/>
      <c r="FWF42" s="73"/>
      <c r="FWG42" s="73"/>
      <c r="FWH42" s="73"/>
      <c r="FWI42" s="73"/>
      <c r="FWJ42" s="73"/>
      <c r="FWK42" s="73"/>
      <c r="FWL42" s="73"/>
      <c r="FWM42" s="73"/>
      <c r="FWN42" s="73"/>
      <c r="FWO42" s="73"/>
      <c r="FWP42" s="73"/>
      <c r="FWQ42" s="73"/>
      <c r="FWR42" s="73"/>
      <c r="FWS42" s="73"/>
      <c r="FWT42" s="73"/>
      <c r="FWU42" s="73"/>
      <c r="FWV42" s="73"/>
      <c r="FWW42" s="73"/>
      <c r="FWX42" s="73"/>
      <c r="FWY42" s="73"/>
      <c r="FWZ42" s="73"/>
      <c r="FXA42" s="73"/>
      <c r="FXB42" s="73"/>
      <c r="FXC42" s="73"/>
      <c r="FXD42" s="73"/>
      <c r="FXE42" s="73"/>
      <c r="FXF42" s="73"/>
      <c r="FXG42" s="73"/>
      <c r="FXH42" s="73"/>
      <c r="FXI42" s="73"/>
      <c r="FXJ42" s="73"/>
      <c r="FXK42" s="73"/>
      <c r="FXL42" s="73"/>
      <c r="FXM42" s="73"/>
      <c r="FXN42" s="73"/>
      <c r="FXO42" s="73"/>
      <c r="FXP42" s="73"/>
      <c r="FXQ42" s="73"/>
      <c r="FXR42" s="73"/>
      <c r="FXS42" s="73"/>
      <c r="FXT42" s="73"/>
      <c r="FXU42" s="73"/>
      <c r="FXV42" s="73"/>
      <c r="FXW42" s="73"/>
      <c r="FXX42" s="73"/>
      <c r="FXY42" s="73"/>
      <c r="FXZ42" s="73"/>
      <c r="FYA42" s="73"/>
      <c r="FYB42" s="73"/>
      <c r="FYC42" s="73"/>
      <c r="FYD42" s="73"/>
      <c r="FYE42" s="73"/>
      <c r="FYF42" s="73"/>
      <c r="FYG42" s="73"/>
      <c r="FYH42" s="73"/>
      <c r="FYI42" s="73"/>
      <c r="FYJ42" s="73"/>
      <c r="FYK42" s="73"/>
      <c r="FYL42" s="73"/>
      <c r="FYM42" s="73"/>
      <c r="FYN42" s="73"/>
      <c r="FYO42" s="73"/>
      <c r="FYP42" s="73"/>
      <c r="FYQ42" s="73"/>
      <c r="FYR42" s="73"/>
      <c r="FYS42" s="73"/>
      <c r="FYT42" s="73"/>
      <c r="FYU42" s="73"/>
      <c r="FYV42" s="73"/>
      <c r="FYW42" s="73"/>
      <c r="FYX42" s="73"/>
      <c r="FYY42" s="73"/>
      <c r="FYZ42" s="73"/>
      <c r="FZA42" s="73"/>
      <c r="FZB42" s="73"/>
      <c r="FZC42" s="73"/>
      <c r="FZD42" s="73"/>
      <c r="FZE42" s="73"/>
      <c r="FZF42" s="73"/>
      <c r="FZG42" s="73"/>
      <c r="FZH42" s="73"/>
      <c r="FZI42" s="73"/>
      <c r="FZJ42" s="73"/>
      <c r="FZK42" s="73"/>
      <c r="FZL42" s="73"/>
      <c r="FZM42" s="73"/>
      <c r="FZN42" s="73"/>
      <c r="FZO42" s="73"/>
      <c r="FZP42" s="73"/>
      <c r="FZQ42" s="73"/>
      <c r="FZR42" s="73"/>
      <c r="FZS42" s="73"/>
      <c r="FZT42" s="73"/>
      <c r="FZU42" s="73"/>
      <c r="FZV42" s="73"/>
      <c r="FZW42" s="73"/>
      <c r="FZX42" s="73"/>
      <c r="FZY42" s="73"/>
      <c r="FZZ42" s="73"/>
      <c r="GAA42" s="73"/>
      <c r="GAB42" s="73"/>
      <c r="GAC42" s="73"/>
      <c r="GAD42" s="73"/>
      <c r="GAE42" s="73"/>
      <c r="GAF42" s="73"/>
      <c r="GAG42" s="73"/>
      <c r="GAH42" s="73"/>
      <c r="GAI42" s="73"/>
      <c r="GAJ42" s="73"/>
      <c r="GAK42" s="73"/>
      <c r="GAL42" s="73"/>
      <c r="GAM42" s="73"/>
      <c r="GAN42" s="73"/>
      <c r="GAO42" s="73"/>
      <c r="GAP42" s="73"/>
      <c r="GAQ42" s="73"/>
      <c r="GAR42" s="73"/>
      <c r="GAS42" s="73"/>
      <c r="GAT42" s="73"/>
      <c r="GAU42" s="73"/>
      <c r="GAV42" s="73"/>
      <c r="GAW42" s="73"/>
      <c r="GAX42" s="73"/>
      <c r="GAY42" s="73"/>
      <c r="GAZ42" s="73"/>
      <c r="GBA42" s="73"/>
      <c r="GBB42" s="73"/>
      <c r="GBC42" s="73"/>
      <c r="GBD42" s="73"/>
      <c r="GBE42" s="73"/>
      <c r="GBF42" s="73"/>
      <c r="GBG42" s="73"/>
      <c r="GBH42" s="73"/>
      <c r="GBI42" s="73"/>
      <c r="GBJ42" s="73"/>
      <c r="GBK42" s="73"/>
      <c r="GBL42" s="73"/>
      <c r="GBM42" s="73"/>
      <c r="GBN42" s="73"/>
      <c r="GBO42" s="73"/>
      <c r="GBP42" s="73"/>
      <c r="GBQ42" s="73"/>
      <c r="GBR42" s="73"/>
      <c r="GBS42" s="73"/>
      <c r="GBT42" s="73"/>
      <c r="GBU42" s="73"/>
      <c r="GBV42" s="73"/>
      <c r="GBW42" s="73"/>
      <c r="GBX42" s="73"/>
      <c r="GBY42" s="73"/>
      <c r="GBZ42" s="73"/>
      <c r="GCA42" s="73"/>
      <c r="GCB42" s="73"/>
      <c r="GCC42" s="73"/>
      <c r="GCD42" s="73"/>
      <c r="GCE42" s="73"/>
      <c r="GCF42" s="73"/>
      <c r="GCG42" s="73"/>
      <c r="GCH42" s="73"/>
      <c r="GCI42" s="73"/>
      <c r="GCJ42" s="73"/>
      <c r="GCK42" s="73"/>
      <c r="GCL42" s="73"/>
      <c r="GCM42" s="73"/>
      <c r="GCN42" s="73"/>
      <c r="GCO42" s="73"/>
      <c r="GCP42" s="73"/>
      <c r="GCQ42" s="73"/>
      <c r="GCR42" s="73"/>
      <c r="GCS42" s="73"/>
      <c r="GCT42" s="73"/>
      <c r="GCU42" s="73"/>
      <c r="GCV42" s="73"/>
      <c r="GCW42" s="73"/>
      <c r="GCX42" s="73"/>
      <c r="GCY42" s="73"/>
      <c r="GCZ42" s="73"/>
      <c r="GDA42" s="73"/>
      <c r="GDB42" s="73"/>
      <c r="GDC42" s="73"/>
      <c r="GDD42" s="73"/>
      <c r="GDE42" s="73"/>
      <c r="GDF42" s="73"/>
      <c r="GDG42" s="73"/>
      <c r="GDH42" s="73"/>
      <c r="GDI42" s="73"/>
      <c r="GDJ42" s="73"/>
      <c r="GDK42" s="73"/>
      <c r="GDL42" s="73"/>
      <c r="GDM42" s="73"/>
      <c r="GDN42" s="73"/>
      <c r="GDO42" s="73"/>
      <c r="GDP42" s="73"/>
      <c r="GDQ42" s="73"/>
      <c r="GDR42" s="73"/>
      <c r="GDS42" s="73"/>
      <c r="GDT42" s="73"/>
      <c r="GDU42" s="73"/>
      <c r="GDV42" s="73"/>
      <c r="GDW42" s="73"/>
      <c r="GDX42" s="73"/>
      <c r="GDY42" s="73"/>
      <c r="GDZ42" s="73"/>
      <c r="GEA42" s="73"/>
      <c r="GEB42" s="73"/>
      <c r="GEC42" s="73"/>
      <c r="GED42" s="73"/>
      <c r="GEE42" s="73"/>
      <c r="GEF42" s="73"/>
      <c r="GEG42" s="73"/>
      <c r="GEH42" s="73"/>
      <c r="GEI42" s="73"/>
      <c r="GEJ42" s="73"/>
      <c r="GEK42" s="73"/>
      <c r="GEL42" s="73"/>
      <c r="GEM42" s="73"/>
      <c r="GEN42" s="73"/>
      <c r="GEO42" s="73"/>
      <c r="GEP42" s="73"/>
      <c r="GEQ42" s="73"/>
      <c r="GER42" s="73"/>
      <c r="GES42" s="73"/>
      <c r="GET42" s="73"/>
      <c r="GEU42" s="73"/>
      <c r="GEV42" s="73"/>
      <c r="GEW42" s="73"/>
      <c r="GEX42" s="73"/>
      <c r="GEY42" s="73"/>
      <c r="GEZ42" s="73"/>
      <c r="GFA42" s="73"/>
      <c r="GFB42" s="73"/>
      <c r="GFC42" s="73"/>
      <c r="GFD42" s="73"/>
      <c r="GFE42" s="73"/>
      <c r="GFF42" s="73"/>
      <c r="GFG42" s="73"/>
      <c r="GFH42" s="73"/>
      <c r="GFI42" s="73"/>
      <c r="GFJ42" s="73"/>
      <c r="GFK42" s="73"/>
      <c r="GFL42" s="73"/>
      <c r="GFM42" s="73"/>
      <c r="GFN42" s="73"/>
      <c r="GFO42" s="73"/>
      <c r="GFP42" s="73"/>
      <c r="GFQ42" s="73"/>
      <c r="GFR42" s="73"/>
      <c r="GFS42" s="73"/>
      <c r="GFT42" s="73"/>
      <c r="GFU42" s="73"/>
      <c r="GFV42" s="73"/>
      <c r="GFW42" s="73"/>
      <c r="GFX42" s="73"/>
      <c r="GFY42" s="73"/>
      <c r="GFZ42" s="73"/>
      <c r="GGA42" s="73"/>
      <c r="GGB42" s="73"/>
      <c r="GGC42" s="73"/>
      <c r="GGD42" s="73"/>
      <c r="GGE42" s="73"/>
      <c r="GGF42" s="73"/>
      <c r="GGG42" s="73"/>
      <c r="GGH42" s="73"/>
      <c r="GGI42" s="73"/>
      <c r="GGJ42" s="73"/>
      <c r="GGK42" s="73"/>
      <c r="GGL42" s="73"/>
      <c r="GGM42" s="73"/>
      <c r="GGN42" s="73"/>
      <c r="GGO42" s="73"/>
      <c r="GGP42" s="73"/>
      <c r="GGQ42" s="73"/>
      <c r="GGR42" s="73"/>
      <c r="GGS42" s="73"/>
      <c r="GGT42" s="73"/>
      <c r="GGU42" s="73"/>
      <c r="GGV42" s="73"/>
      <c r="GGW42" s="73"/>
      <c r="GGX42" s="73"/>
      <c r="GGY42" s="73"/>
      <c r="GGZ42" s="73"/>
      <c r="GHA42" s="73"/>
      <c r="GHB42" s="73"/>
      <c r="GHC42" s="73"/>
      <c r="GHD42" s="73"/>
      <c r="GHE42" s="73"/>
      <c r="GHF42" s="73"/>
      <c r="GHG42" s="73"/>
      <c r="GHH42" s="73"/>
      <c r="GHI42" s="73"/>
      <c r="GHJ42" s="73"/>
      <c r="GHK42" s="73"/>
      <c r="GHL42" s="73"/>
      <c r="GHM42" s="73"/>
      <c r="GHN42" s="73"/>
      <c r="GHO42" s="73"/>
      <c r="GHP42" s="73"/>
      <c r="GHQ42" s="73"/>
      <c r="GHR42" s="73"/>
      <c r="GHS42" s="73"/>
      <c r="GHT42" s="73"/>
      <c r="GHU42" s="73"/>
      <c r="GHV42" s="73"/>
      <c r="GHW42" s="73"/>
      <c r="GHX42" s="73"/>
      <c r="GHY42" s="73"/>
      <c r="GHZ42" s="73"/>
      <c r="GIA42" s="73"/>
      <c r="GIB42" s="73"/>
      <c r="GIC42" s="73"/>
      <c r="GID42" s="73"/>
      <c r="GIE42" s="73"/>
      <c r="GIF42" s="73"/>
      <c r="GIG42" s="73"/>
      <c r="GIH42" s="73"/>
      <c r="GII42" s="73"/>
      <c r="GIJ42" s="73"/>
      <c r="GIK42" s="73"/>
      <c r="GIL42" s="73"/>
      <c r="GIM42" s="73"/>
      <c r="GIN42" s="73"/>
      <c r="GIO42" s="73"/>
      <c r="GIP42" s="73"/>
      <c r="GIQ42" s="73"/>
      <c r="GIR42" s="73"/>
      <c r="GIS42" s="73"/>
      <c r="GIT42" s="73"/>
      <c r="GIU42" s="73"/>
      <c r="GIV42" s="73"/>
      <c r="GIW42" s="73"/>
      <c r="GIX42" s="73"/>
      <c r="GIY42" s="73"/>
      <c r="GIZ42" s="73"/>
      <c r="GJA42" s="73"/>
      <c r="GJB42" s="73"/>
      <c r="GJC42" s="73"/>
      <c r="GJD42" s="73"/>
      <c r="GJE42" s="73"/>
      <c r="GJF42" s="73"/>
      <c r="GJG42" s="73"/>
      <c r="GJH42" s="73"/>
      <c r="GJI42" s="73"/>
      <c r="GJJ42" s="73"/>
      <c r="GJK42" s="73"/>
      <c r="GJL42" s="73"/>
      <c r="GJM42" s="73"/>
      <c r="GJN42" s="73"/>
      <c r="GJO42" s="73"/>
      <c r="GJP42" s="73"/>
      <c r="GJQ42" s="73"/>
      <c r="GJR42" s="73"/>
      <c r="GJS42" s="73"/>
      <c r="GJT42" s="73"/>
      <c r="GJU42" s="73"/>
      <c r="GJV42" s="73"/>
      <c r="GJW42" s="73"/>
      <c r="GJX42" s="73"/>
      <c r="GJY42" s="73"/>
      <c r="GJZ42" s="73"/>
      <c r="GKA42" s="73"/>
      <c r="GKB42" s="73"/>
      <c r="GKC42" s="73"/>
      <c r="GKD42" s="73"/>
      <c r="GKE42" s="73"/>
      <c r="GKF42" s="73"/>
      <c r="GKG42" s="73"/>
      <c r="GKH42" s="73"/>
      <c r="GKI42" s="73"/>
      <c r="GKJ42" s="73"/>
      <c r="GKK42" s="73"/>
      <c r="GKL42" s="73"/>
      <c r="GKM42" s="73"/>
      <c r="GKN42" s="73"/>
      <c r="GKO42" s="73"/>
      <c r="GKP42" s="73"/>
      <c r="GKQ42" s="73"/>
      <c r="GKR42" s="73"/>
      <c r="GKS42" s="73"/>
      <c r="GKT42" s="73"/>
      <c r="GKU42" s="73"/>
      <c r="GKV42" s="73"/>
      <c r="GKW42" s="73"/>
      <c r="GKX42" s="73"/>
      <c r="GKY42" s="73"/>
      <c r="GKZ42" s="73"/>
      <c r="GLA42" s="73"/>
      <c r="GLB42" s="73"/>
      <c r="GLC42" s="73"/>
      <c r="GLD42" s="73"/>
      <c r="GLE42" s="73"/>
      <c r="GLF42" s="73"/>
      <c r="GLG42" s="73"/>
      <c r="GLH42" s="73"/>
      <c r="GLI42" s="73"/>
      <c r="GLJ42" s="73"/>
      <c r="GLK42" s="73"/>
      <c r="GLL42" s="73"/>
      <c r="GLM42" s="73"/>
      <c r="GLN42" s="73"/>
      <c r="GLO42" s="73"/>
      <c r="GLP42" s="73"/>
      <c r="GLQ42" s="73"/>
      <c r="GLR42" s="73"/>
      <c r="GLS42" s="73"/>
      <c r="GLT42" s="73"/>
      <c r="GLU42" s="73"/>
      <c r="GLV42" s="73"/>
      <c r="GLW42" s="73"/>
      <c r="GLX42" s="73"/>
      <c r="GLY42" s="73"/>
      <c r="GLZ42" s="73"/>
      <c r="GMA42" s="73"/>
      <c r="GMB42" s="73"/>
      <c r="GMC42" s="73"/>
      <c r="GMD42" s="73"/>
      <c r="GME42" s="73"/>
      <c r="GMF42" s="73"/>
      <c r="GMG42" s="73"/>
      <c r="GMH42" s="73"/>
      <c r="GMI42" s="73"/>
      <c r="GMJ42" s="73"/>
      <c r="GMK42" s="73"/>
      <c r="GML42" s="73"/>
      <c r="GMM42" s="73"/>
      <c r="GMN42" s="73"/>
      <c r="GMO42" s="73"/>
      <c r="GMP42" s="73"/>
      <c r="GMQ42" s="73"/>
      <c r="GMR42" s="73"/>
      <c r="GMS42" s="73"/>
      <c r="GMT42" s="73"/>
      <c r="GMU42" s="73"/>
      <c r="GMV42" s="73"/>
      <c r="GMW42" s="73"/>
      <c r="GMX42" s="73"/>
      <c r="GMY42" s="73"/>
      <c r="GMZ42" s="73"/>
      <c r="GNA42" s="73"/>
      <c r="GNB42" s="73"/>
      <c r="GNC42" s="73"/>
      <c r="GND42" s="73"/>
      <c r="GNE42" s="73"/>
      <c r="GNF42" s="73"/>
      <c r="GNG42" s="73"/>
      <c r="GNH42" s="73"/>
      <c r="GNI42" s="73"/>
      <c r="GNJ42" s="73"/>
      <c r="GNK42" s="73"/>
      <c r="GNL42" s="73"/>
      <c r="GNM42" s="73"/>
      <c r="GNN42" s="73"/>
      <c r="GNO42" s="73"/>
      <c r="GNP42" s="73"/>
      <c r="GNQ42" s="73"/>
      <c r="GNR42" s="73"/>
      <c r="GNS42" s="73"/>
      <c r="GNT42" s="73"/>
      <c r="GNU42" s="73"/>
      <c r="GNV42" s="73"/>
      <c r="GNW42" s="73"/>
      <c r="GNX42" s="73"/>
      <c r="GNY42" s="73"/>
      <c r="GNZ42" s="73"/>
      <c r="GOA42" s="73"/>
      <c r="GOB42" s="73"/>
      <c r="GOC42" s="73"/>
      <c r="GOD42" s="73"/>
      <c r="GOE42" s="73"/>
      <c r="GOF42" s="73"/>
      <c r="GOG42" s="73"/>
      <c r="GOH42" s="73"/>
      <c r="GOI42" s="73"/>
      <c r="GOJ42" s="73"/>
      <c r="GOK42" s="73"/>
      <c r="GOL42" s="73"/>
      <c r="GOM42" s="73"/>
      <c r="GON42" s="73"/>
      <c r="GOO42" s="73"/>
      <c r="GOP42" s="73"/>
      <c r="GOQ42" s="73"/>
      <c r="GOR42" s="73"/>
      <c r="GOS42" s="73"/>
      <c r="GOT42" s="73"/>
      <c r="GOU42" s="73"/>
      <c r="GOV42" s="73"/>
      <c r="GOW42" s="73"/>
      <c r="GOX42" s="73"/>
      <c r="GOY42" s="73"/>
      <c r="GOZ42" s="73"/>
      <c r="GPA42" s="73"/>
      <c r="GPB42" s="73"/>
      <c r="GPC42" s="73"/>
      <c r="GPD42" s="73"/>
      <c r="GPE42" s="73"/>
      <c r="GPF42" s="73"/>
      <c r="GPG42" s="73"/>
      <c r="GPH42" s="73"/>
      <c r="GPI42" s="73"/>
      <c r="GPJ42" s="73"/>
      <c r="GPK42" s="73"/>
      <c r="GPL42" s="73"/>
      <c r="GPM42" s="73"/>
      <c r="GPN42" s="73"/>
      <c r="GPO42" s="73"/>
      <c r="GPP42" s="73"/>
      <c r="GPQ42" s="73"/>
      <c r="GPR42" s="73"/>
      <c r="GPS42" s="73"/>
      <c r="GPT42" s="73"/>
      <c r="GPU42" s="73"/>
      <c r="GPV42" s="73"/>
      <c r="GPW42" s="73"/>
      <c r="GPX42" s="73"/>
      <c r="GPY42" s="73"/>
      <c r="GPZ42" s="73"/>
      <c r="GQA42" s="73"/>
      <c r="GQB42" s="73"/>
      <c r="GQC42" s="73"/>
      <c r="GQD42" s="73"/>
      <c r="GQE42" s="73"/>
      <c r="GQF42" s="73"/>
      <c r="GQG42" s="73"/>
      <c r="GQH42" s="73"/>
      <c r="GQI42" s="73"/>
      <c r="GQJ42" s="73"/>
      <c r="GQK42" s="73"/>
      <c r="GQL42" s="73"/>
      <c r="GQM42" s="73"/>
      <c r="GQN42" s="73"/>
      <c r="GQO42" s="73"/>
      <c r="GQP42" s="73"/>
      <c r="GQQ42" s="73"/>
      <c r="GQR42" s="73"/>
      <c r="GQS42" s="73"/>
      <c r="GQT42" s="73"/>
      <c r="GQU42" s="73"/>
      <c r="GQV42" s="73"/>
      <c r="GQW42" s="73"/>
      <c r="GQX42" s="73"/>
      <c r="GQY42" s="73"/>
      <c r="GQZ42" s="73"/>
      <c r="GRA42" s="73"/>
      <c r="GRB42" s="73"/>
      <c r="GRC42" s="73"/>
      <c r="GRD42" s="73"/>
      <c r="GRE42" s="73"/>
      <c r="GRF42" s="73"/>
      <c r="GRG42" s="73"/>
      <c r="GRH42" s="73"/>
      <c r="GRI42" s="73"/>
      <c r="GRJ42" s="73"/>
      <c r="GRK42" s="73"/>
      <c r="GRL42" s="73"/>
      <c r="GRM42" s="73"/>
      <c r="GRN42" s="73"/>
      <c r="GRO42" s="73"/>
      <c r="GRP42" s="73"/>
      <c r="GRQ42" s="73"/>
      <c r="GRR42" s="73"/>
      <c r="GRS42" s="73"/>
      <c r="GRT42" s="73"/>
      <c r="GRU42" s="73"/>
      <c r="GRV42" s="73"/>
      <c r="GRW42" s="73"/>
      <c r="GRX42" s="73"/>
      <c r="GRY42" s="73"/>
      <c r="GRZ42" s="73"/>
      <c r="GSA42" s="73"/>
      <c r="GSB42" s="73"/>
      <c r="GSC42" s="73"/>
      <c r="GSD42" s="73"/>
      <c r="GSE42" s="73"/>
      <c r="GSF42" s="73"/>
      <c r="GSG42" s="73"/>
      <c r="GSH42" s="73"/>
      <c r="GSI42" s="73"/>
      <c r="GSJ42" s="73"/>
      <c r="GSK42" s="73"/>
      <c r="GSL42" s="73"/>
      <c r="GSM42" s="73"/>
      <c r="GSN42" s="73"/>
      <c r="GSO42" s="73"/>
      <c r="GSP42" s="73"/>
      <c r="GSQ42" s="73"/>
      <c r="GSR42" s="73"/>
      <c r="GSS42" s="73"/>
      <c r="GST42" s="73"/>
      <c r="GSU42" s="73"/>
      <c r="GSV42" s="73"/>
      <c r="GSW42" s="73"/>
      <c r="GSX42" s="73"/>
      <c r="GSY42" s="73"/>
      <c r="GSZ42" s="73"/>
      <c r="GTA42" s="73"/>
      <c r="GTB42" s="73"/>
      <c r="GTC42" s="73"/>
      <c r="GTD42" s="73"/>
      <c r="GTE42" s="73"/>
      <c r="GTF42" s="73"/>
      <c r="GTG42" s="73"/>
      <c r="GTH42" s="73"/>
      <c r="GTI42" s="73"/>
      <c r="GTJ42" s="73"/>
      <c r="GTK42" s="73"/>
      <c r="GTL42" s="73"/>
      <c r="GTM42" s="73"/>
      <c r="GTN42" s="73"/>
      <c r="GTO42" s="73"/>
      <c r="GTP42" s="73"/>
      <c r="GTQ42" s="73"/>
      <c r="GTR42" s="73"/>
      <c r="GTS42" s="73"/>
      <c r="GTT42" s="73"/>
      <c r="GTU42" s="73"/>
      <c r="GTV42" s="73"/>
      <c r="GTW42" s="73"/>
      <c r="GTX42" s="73"/>
      <c r="GTY42" s="73"/>
      <c r="GTZ42" s="73"/>
      <c r="GUA42" s="73"/>
      <c r="GUB42" s="73"/>
      <c r="GUC42" s="73"/>
      <c r="GUD42" s="73"/>
      <c r="GUE42" s="73"/>
      <c r="GUF42" s="73"/>
      <c r="GUG42" s="73"/>
      <c r="GUH42" s="73"/>
      <c r="GUI42" s="73"/>
      <c r="GUJ42" s="73"/>
      <c r="GUK42" s="73"/>
      <c r="GUL42" s="73"/>
      <c r="GUM42" s="73"/>
      <c r="GUN42" s="73"/>
      <c r="GUO42" s="73"/>
      <c r="GUP42" s="73"/>
      <c r="GUQ42" s="73"/>
      <c r="GUR42" s="73"/>
      <c r="GUS42" s="73"/>
      <c r="GUT42" s="73"/>
      <c r="GUU42" s="73"/>
      <c r="GUV42" s="73"/>
      <c r="GUW42" s="73"/>
      <c r="GUX42" s="73"/>
      <c r="GUY42" s="73"/>
      <c r="GUZ42" s="73"/>
      <c r="GVA42" s="73"/>
      <c r="GVB42" s="73"/>
      <c r="GVC42" s="73"/>
      <c r="GVD42" s="73"/>
      <c r="GVE42" s="73"/>
      <c r="GVF42" s="73"/>
      <c r="GVG42" s="73"/>
      <c r="GVH42" s="73"/>
      <c r="GVI42" s="73"/>
      <c r="GVJ42" s="73"/>
      <c r="GVK42" s="73"/>
      <c r="GVL42" s="73"/>
      <c r="GVM42" s="73"/>
      <c r="GVN42" s="73"/>
      <c r="GVO42" s="73"/>
      <c r="GVP42" s="73"/>
      <c r="GVQ42" s="73"/>
      <c r="GVR42" s="73"/>
      <c r="GVS42" s="73"/>
      <c r="GVT42" s="73"/>
      <c r="GVU42" s="73"/>
      <c r="GVV42" s="73"/>
      <c r="GVW42" s="73"/>
      <c r="GVX42" s="73"/>
      <c r="GVY42" s="73"/>
      <c r="GVZ42" s="73"/>
      <c r="GWA42" s="73"/>
      <c r="GWB42" s="73"/>
      <c r="GWC42" s="73"/>
      <c r="GWD42" s="73"/>
      <c r="GWE42" s="73"/>
      <c r="GWF42" s="73"/>
      <c r="GWG42" s="73"/>
      <c r="GWH42" s="73"/>
      <c r="GWI42" s="73"/>
      <c r="GWJ42" s="73"/>
      <c r="GWK42" s="73"/>
      <c r="GWL42" s="73"/>
      <c r="GWM42" s="73"/>
      <c r="GWN42" s="73"/>
      <c r="GWO42" s="73"/>
      <c r="GWP42" s="73"/>
      <c r="GWQ42" s="73"/>
      <c r="GWR42" s="73"/>
      <c r="GWS42" s="73"/>
      <c r="GWT42" s="73"/>
      <c r="GWU42" s="73"/>
      <c r="GWV42" s="73"/>
      <c r="GWW42" s="73"/>
      <c r="GWX42" s="73"/>
      <c r="GWY42" s="73"/>
      <c r="GWZ42" s="73"/>
      <c r="GXA42" s="73"/>
      <c r="GXB42" s="73"/>
      <c r="GXC42" s="73"/>
      <c r="GXD42" s="73"/>
      <c r="GXE42" s="73"/>
      <c r="GXF42" s="73"/>
      <c r="GXG42" s="73"/>
      <c r="GXH42" s="73"/>
      <c r="GXI42" s="73"/>
      <c r="GXJ42" s="73"/>
      <c r="GXK42" s="73"/>
      <c r="GXL42" s="73"/>
      <c r="GXM42" s="73"/>
      <c r="GXN42" s="73"/>
      <c r="GXO42" s="73"/>
      <c r="GXP42" s="73"/>
      <c r="GXQ42" s="73"/>
      <c r="GXR42" s="73"/>
      <c r="GXS42" s="73"/>
      <c r="GXT42" s="73"/>
      <c r="GXU42" s="73"/>
      <c r="GXV42" s="73"/>
      <c r="GXW42" s="73"/>
      <c r="GXX42" s="73"/>
      <c r="GXY42" s="73"/>
      <c r="GXZ42" s="73"/>
      <c r="GYA42" s="73"/>
      <c r="GYB42" s="73"/>
      <c r="GYC42" s="73"/>
      <c r="GYD42" s="73"/>
      <c r="GYE42" s="73"/>
      <c r="GYF42" s="73"/>
      <c r="GYG42" s="73"/>
      <c r="GYH42" s="73"/>
      <c r="GYI42" s="73"/>
      <c r="GYJ42" s="73"/>
      <c r="GYK42" s="73"/>
      <c r="GYL42" s="73"/>
      <c r="GYM42" s="73"/>
      <c r="GYN42" s="73"/>
      <c r="GYO42" s="73"/>
      <c r="GYP42" s="73"/>
      <c r="GYQ42" s="73"/>
      <c r="GYR42" s="73"/>
      <c r="GYS42" s="73"/>
      <c r="GYT42" s="73"/>
      <c r="GYU42" s="73"/>
      <c r="GYV42" s="73"/>
      <c r="GYW42" s="73"/>
      <c r="GYX42" s="73"/>
      <c r="GYY42" s="73"/>
      <c r="GYZ42" s="73"/>
      <c r="GZA42" s="73"/>
      <c r="GZB42" s="73"/>
      <c r="GZC42" s="73"/>
      <c r="GZD42" s="73"/>
      <c r="GZE42" s="73"/>
      <c r="GZF42" s="73"/>
      <c r="GZG42" s="73"/>
      <c r="GZH42" s="73"/>
      <c r="GZI42" s="73"/>
      <c r="GZJ42" s="73"/>
      <c r="GZK42" s="73"/>
      <c r="GZL42" s="73"/>
      <c r="GZM42" s="73"/>
      <c r="GZN42" s="73"/>
      <c r="GZO42" s="73"/>
      <c r="GZP42" s="73"/>
      <c r="GZQ42" s="73"/>
      <c r="GZR42" s="73"/>
      <c r="GZS42" s="73"/>
      <c r="GZT42" s="73"/>
      <c r="GZU42" s="73"/>
      <c r="GZV42" s="73"/>
      <c r="GZW42" s="73"/>
      <c r="GZX42" s="73"/>
      <c r="GZY42" s="73"/>
      <c r="GZZ42" s="73"/>
      <c r="HAA42" s="73"/>
      <c r="HAB42" s="73"/>
      <c r="HAC42" s="73"/>
      <c r="HAD42" s="73"/>
      <c r="HAE42" s="73"/>
      <c r="HAF42" s="73"/>
      <c r="HAG42" s="73"/>
      <c r="HAH42" s="73"/>
      <c r="HAI42" s="73"/>
      <c r="HAJ42" s="73"/>
      <c r="HAK42" s="73"/>
      <c r="HAL42" s="73"/>
      <c r="HAM42" s="73"/>
      <c r="HAN42" s="73"/>
      <c r="HAO42" s="73"/>
      <c r="HAP42" s="73"/>
      <c r="HAQ42" s="73"/>
      <c r="HAR42" s="73"/>
      <c r="HAS42" s="73"/>
      <c r="HAT42" s="73"/>
      <c r="HAU42" s="73"/>
      <c r="HAV42" s="73"/>
      <c r="HAW42" s="73"/>
      <c r="HAX42" s="73"/>
      <c r="HAY42" s="73"/>
      <c r="HAZ42" s="73"/>
      <c r="HBA42" s="73"/>
      <c r="HBB42" s="73"/>
      <c r="HBC42" s="73"/>
      <c r="HBD42" s="73"/>
      <c r="HBE42" s="73"/>
      <c r="HBF42" s="73"/>
      <c r="HBG42" s="73"/>
      <c r="HBH42" s="73"/>
      <c r="HBI42" s="73"/>
      <c r="HBJ42" s="73"/>
      <c r="HBK42" s="73"/>
      <c r="HBL42" s="73"/>
      <c r="HBM42" s="73"/>
      <c r="HBN42" s="73"/>
      <c r="HBO42" s="73"/>
      <c r="HBP42" s="73"/>
      <c r="HBQ42" s="73"/>
      <c r="HBR42" s="73"/>
      <c r="HBS42" s="73"/>
      <c r="HBT42" s="73"/>
      <c r="HBU42" s="73"/>
      <c r="HBV42" s="73"/>
      <c r="HBW42" s="73"/>
      <c r="HBX42" s="73"/>
      <c r="HBY42" s="73"/>
      <c r="HBZ42" s="73"/>
      <c r="HCA42" s="73"/>
      <c r="HCB42" s="73"/>
      <c r="HCC42" s="73"/>
      <c r="HCD42" s="73"/>
      <c r="HCE42" s="73"/>
      <c r="HCF42" s="73"/>
      <c r="HCG42" s="73"/>
      <c r="HCH42" s="73"/>
      <c r="HCI42" s="73"/>
      <c r="HCJ42" s="73"/>
      <c r="HCK42" s="73"/>
      <c r="HCL42" s="73"/>
      <c r="HCM42" s="73"/>
      <c r="HCN42" s="73"/>
      <c r="HCO42" s="73"/>
      <c r="HCP42" s="73"/>
      <c r="HCQ42" s="73"/>
      <c r="HCR42" s="73"/>
      <c r="HCS42" s="73"/>
      <c r="HCT42" s="73"/>
      <c r="HCU42" s="73"/>
      <c r="HCV42" s="73"/>
      <c r="HCW42" s="73"/>
      <c r="HCX42" s="73"/>
      <c r="HCY42" s="73"/>
      <c r="HCZ42" s="73"/>
      <c r="HDA42" s="73"/>
      <c r="HDB42" s="73"/>
      <c r="HDC42" s="73"/>
      <c r="HDD42" s="73"/>
      <c r="HDE42" s="73"/>
      <c r="HDF42" s="73"/>
      <c r="HDG42" s="73"/>
      <c r="HDH42" s="73"/>
      <c r="HDI42" s="73"/>
      <c r="HDJ42" s="73"/>
      <c r="HDK42" s="73"/>
      <c r="HDL42" s="73"/>
      <c r="HDM42" s="73"/>
      <c r="HDN42" s="73"/>
      <c r="HDO42" s="73"/>
      <c r="HDP42" s="73"/>
      <c r="HDQ42" s="73"/>
      <c r="HDR42" s="73"/>
      <c r="HDS42" s="73"/>
      <c r="HDT42" s="73"/>
      <c r="HDU42" s="73"/>
      <c r="HDV42" s="73"/>
      <c r="HDW42" s="73"/>
      <c r="HDX42" s="73"/>
      <c r="HDY42" s="73"/>
      <c r="HDZ42" s="73"/>
      <c r="HEA42" s="73"/>
      <c r="HEB42" s="73"/>
      <c r="HEC42" s="73"/>
      <c r="HED42" s="73"/>
      <c r="HEE42" s="73"/>
      <c r="HEF42" s="73"/>
      <c r="HEG42" s="73"/>
      <c r="HEH42" s="73"/>
      <c r="HEI42" s="73"/>
      <c r="HEJ42" s="73"/>
      <c r="HEK42" s="73"/>
      <c r="HEL42" s="73"/>
      <c r="HEM42" s="73"/>
      <c r="HEN42" s="73"/>
      <c r="HEO42" s="73"/>
      <c r="HEP42" s="73"/>
      <c r="HEQ42" s="73"/>
      <c r="HER42" s="73"/>
      <c r="HES42" s="73"/>
      <c r="HET42" s="73"/>
      <c r="HEU42" s="73"/>
      <c r="HEV42" s="73"/>
      <c r="HEW42" s="73"/>
      <c r="HEX42" s="73"/>
      <c r="HEY42" s="73"/>
      <c r="HEZ42" s="73"/>
      <c r="HFA42" s="73"/>
      <c r="HFB42" s="73"/>
      <c r="HFC42" s="73"/>
      <c r="HFD42" s="73"/>
      <c r="HFE42" s="73"/>
      <c r="HFF42" s="73"/>
      <c r="HFG42" s="73"/>
      <c r="HFH42" s="73"/>
      <c r="HFI42" s="73"/>
      <c r="HFJ42" s="73"/>
      <c r="HFK42" s="73"/>
      <c r="HFL42" s="73"/>
      <c r="HFM42" s="73"/>
      <c r="HFN42" s="73"/>
      <c r="HFO42" s="73"/>
      <c r="HFP42" s="73"/>
      <c r="HFQ42" s="73"/>
      <c r="HFR42" s="73"/>
      <c r="HFS42" s="73"/>
      <c r="HFT42" s="73"/>
      <c r="HFU42" s="73"/>
      <c r="HFV42" s="73"/>
      <c r="HFW42" s="73"/>
      <c r="HFX42" s="73"/>
      <c r="HFY42" s="73"/>
      <c r="HFZ42" s="73"/>
      <c r="HGA42" s="73"/>
      <c r="HGB42" s="73"/>
      <c r="HGC42" s="73"/>
      <c r="HGD42" s="73"/>
      <c r="HGE42" s="73"/>
      <c r="HGF42" s="73"/>
      <c r="HGG42" s="73"/>
      <c r="HGH42" s="73"/>
      <c r="HGI42" s="73"/>
      <c r="HGJ42" s="73"/>
      <c r="HGK42" s="73"/>
      <c r="HGL42" s="73"/>
      <c r="HGM42" s="73"/>
      <c r="HGN42" s="73"/>
      <c r="HGO42" s="73"/>
      <c r="HGP42" s="73"/>
      <c r="HGQ42" s="73"/>
      <c r="HGR42" s="73"/>
      <c r="HGS42" s="73"/>
      <c r="HGT42" s="73"/>
      <c r="HGU42" s="73"/>
      <c r="HGV42" s="73"/>
      <c r="HGW42" s="73"/>
      <c r="HGX42" s="73"/>
      <c r="HGY42" s="73"/>
      <c r="HGZ42" s="73"/>
      <c r="HHA42" s="73"/>
      <c r="HHB42" s="73"/>
      <c r="HHC42" s="73"/>
      <c r="HHD42" s="73"/>
      <c r="HHE42" s="73"/>
      <c r="HHF42" s="73"/>
      <c r="HHG42" s="73"/>
      <c r="HHH42" s="73"/>
      <c r="HHI42" s="73"/>
      <c r="HHJ42" s="73"/>
      <c r="HHK42" s="73"/>
      <c r="HHL42" s="73"/>
      <c r="HHM42" s="73"/>
      <c r="HHN42" s="73"/>
      <c r="HHO42" s="73"/>
      <c r="HHP42" s="73"/>
      <c r="HHQ42" s="73"/>
      <c r="HHR42" s="73"/>
      <c r="HHS42" s="73"/>
      <c r="HHT42" s="73"/>
      <c r="HHU42" s="73"/>
      <c r="HHV42" s="73"/>
      <c r="HHW42" s="73"/>
      <c r="HHX42" s="73"/>
      <c r="HHY42" s="73"/>
      <c r="HHZ42" s="73"/>
      <c r="HIA42" s="73"/>
      <c r="HIB42" s="73"/>
      <c r="HIC42" s="73"/>
      <c r="HID42" s="73"/>
      <c r="HIE42" s="73"/>
      <c r="HIF42" s="73"/>
      <c r="HIG42" s="73"/>
      <c r="HIH42" s="73"/>
      <c r="HII42" s="73"/>
      <c r="HIJ42" s="73"/>
      <c r="HIK42" s="73"/>
      <c r="HIL42" s="73"/>
      <c r="HIM42" s="73"/>
      <c r="HIN42" s="73"/>
      <c r="HIO42" s="73"/>
      <c r="HIP42" s="73"/>
      <c r="HIQ42" s="73"/>
      <c r="HIR42" s="73"/>
      <c r="HIS42" s="73"/>
      <c r="HIT42" s="73"/>
      <c r="HIU42" s="73"/>
      <c r="HIV42" s="73"/>
      <c r="HIW42" s="73"/>
      <c r="HIX42" s="73"/>
      <c r="HIY42" s="73"/>
      <c r="HIZ42" s="73"/>
      <c r="HJA42" s="73"/>
      <c r="HJB42" s="73"/>
      <c r="HJC42" s="73"/>
      <c r="HJD42" s="73"/>
      <c r="HJE42" s="73"/>
      <c r="HJF42" s="73"/>
      <c r="HJG42" s="73"/>
      <c r="HJH42" s="73"/>
      <c r="HJI42" s="73"/>
      <c r="HJJ42" s="73"/>
      <c r="HJK42" s="73"/>
      <c r="HJL42" s="73"/>
      <c r="HJM42" s="73"/>
      <c r="HJN42" s="73"/>
      <c r="HJO42" s="73"/>
      <c r="HJP42" s="73"/>
      <c r="HJQ42" s="73"/>
      <c r="HJR42" s="73"/>
      <c r="HJS42" s="73"/>
      <c r="HJT42" s="73"/>
      <c r="HJU42" s="73"/>
      <c r="HJV42" s="73"/>
      <c r="HJW42" s="73"/>
      <c r="HJX42" s="73"/>
      <c r="HJY42" s="73"/>
      <c r="HJZ42" s="73"/>
      <c r="HKA42" s="73"/>
      <c r="HKB42" s="73"/>
      <c r="HKC42" s="73"/>
      <c r="HKD42" s="73"/>
      <c r="HKE42" s="73"/>
      <c r="HKF42" s="73"/>
      <c r="HKG42" s="73"/>
      <c r="HKH42" s="73"/>
      <c r="HKI42" s="73"/>
      <c r="HKJ42" s="73"/>
      <c r="HKK42" s="73"/>
      <c r="HKL42" s="73"/>
      <c r="HKM42" s="73"/>
      <c r="HKN42" s="73"/>
      <c r="HKO42" s="73"/>
      <c r="HKP42" s="73"/>
      <c r="HKQ42" s="73"/>
      <c r="HKR42" s="73"/>
      <c r="HKS42" s="73"/>
      <c r="HKT42" s="73"/>
      <c r="HKU42" s="73"/>
      <c r="HKV42" s="73"/>
      <c r="HKW42" s="73"/>
      <c r="HKX42" s="73"/>
      <c r="HKY42" s="73"/>
      <c r="HKZ42" s="73"/>
      <c r="HLA42" s="73"/>
      <c r="HLB42" s="73"/>
      <c r="HLC42" s="73"/>
      <c r="HLD42" s="73"/>
      <c r="HLE42" s="73"/>
      <c r="HLF42" s="73"/>
      <c r="HLG42" s="73"/>
      <c r="HLH42" s="73"/>
      <c r="HLI42" s="73"/>
      <c r="HLJ42" s="73"/>
      <c r="HLK42" s="73"/>
      <c r="HLL42" s="73"/>
      <c r="HLM42" s="73"/>
      <c r="HLN42" s="73"/>
      <c r="HLO42" s="73"/>
      <c r="HLP42" s="73"/>
      <c r="HLQ42" s="73"/>
      <c r="HLR42" s="73"/>
      <c r="HLS42" s="73"/>
      <c r="HLT42" s="73"/>
      <c r="HLU42" s="73"/>
      <c r="HLV42" s="73"/>
      <c r="HLW42" s="73"/>
      <c r="HLX42" s="73"/>
      <c r="HLY42" s="73"/>
      <c r="HLZ42" s="73"/>
      <c r="HMA42" s="73"/>
      <c r="HMB42" s="73"/>
      <c r="HMC42" s="73"/>
      <c r="HMD42" s="73"/>
      <c r="HME42" s="73"/>
      <c r="HMF42" s="73"/>
      <c r="HMG42" s="73"/>
      <c r="HMH42" s="73"/>
      <c r="HMI42" s="73"/>
      <c r="HMJ42" s="73"/>
      <c r="HMK42" s="73"/>
      <c r="HML42" s="73"/>
      <c r="HMM42" s="73"/>
      <c r="HMN42" s="73"/>
      <c r="HMO42" s="73"/>
      <c r="HMP42" s="73"/>
      <c r="HMQ42" s="73"/>
      <c r="HMR42" s="73"/>
      <c r="HMS42" s="73"/>
      <c r="HMT42" s="73"/>
      <c r="HMU42" s="73"/>
      <c r="HMV42" s="73"/>
      <c r="HMW42" s="73"/>
      <c r="HMX42" s="73"/>
      <c r="HMY42" s="73"/>
      <c r="HMZ42" s="73"/>
      <c r="HNA42" s="73"/>
      <c r="HNB42" s="73"/>
      <c r="HNC42" s="73"/>
      <c r="HND42" s="73"/>
      <c r="HNE42" s="73"/>
      <c r="HNF42" s="73"/>
      <c r="HNG42" s="73"/>
      <c r="HNH42" s="73"/>
      <c r="HNI42" s="73"/>
      <c r="HNJ42" s="73"/>
      <c r="HNK42" s="73"/>
      <c r="HNL42" s="73"/>
      <c r="HNM42" s="73"/>
      <c r="HNN42" s="73"/>
      <c r="HNO42" s="73"/>
      <c r="HNP42" s="73"/>
      <c r="HNQ42" s="73"/>
      <c r="HNR42" s="73"/>
      <c r="HNS42" s="73"/>
      <c r="HNT42" s="73"/>
      <c r="HNU42" s="73"/>
      <c r="HNV42" s="73"/>
      <c r="HNW42" s="73"/>
      <c r="HNX42" s="73"/>
      <c r="HNY42" s="73"/>
      <c r="HNZ42" s="73"/>
      <c r="HOA42" s="73"/>
      <c r="HOB42" s="73"/>
      <c r="HOC42" s="73"/>
      <c r="HOD42" s="73"/>
      <c r="HOE42" s="73"/>
      <c r="HOF42" s="73"/>
      <c r="HOG42" s="73"/>
      <c r="HOH42" s="73"/>
      <c r="HOI42" s="73"/>
      <c r="HOJ42" s="73"/>
      <c r="HOK42" s="73"/>
      <c r="HOL42" s="73"/>
      <c r="HOM42" s="73"/>
      <c r="HON42" s="73"/>
      <c r="HOO42" s="73"/>
      <c r="HOP42" s="73"/>
      <c r="HOQ42" s="73"/>
      <c r="HOR42" s="73"/>
      <c r="HOS42" s="73"/>
      <c r="HOT42" s="73"/>
      <c r="HOU42" s="73"/>
      <c r="HOV42" s="73"/>
      <c r="HOW42" s="73"/>
      <c r="HOX42" s="73"/>
      <c r="HOY42" s="73"/>
      <c r="HOZ42" s="73"/>
      <c r="HPA42" s="73"/>
      <c r="HPB42" s="73"/>
      <c r="HPC42" s="73"/>
      <c r="HPD42" s="73"/>
      <c r="HPE42" s="73"/>
      <c r="HPF42" s="73"/>
      <c r="HPG42" s="73"/>
      <c r="HPH42" s="73"/>
      <c r="HPI42" s="73"/>
      <c r="HPJ42" s="73"/>
      <c r="HPK42" s="73"/>
      <c r="HPL42" s="73"/>
      <c r="HPM42" s="73"/>
      <c r="HPN42" s="73"/>
      <c r="HPO42" s="73"/>
      <c r="HPP42" s="73"/>
      <c r="HPQ42" s="73"/>
      <c r="HPR42" s="73"/>
      <c r="HPS42" s="73"/>
      <c r="HPT42" s="73"/>
      <c r="HPU42" s="73"/>
      <c r="HPV42" s="73"/>
      <c r="HPW42" s="73"/>
      <c r="HPX42" s="73"/>
      <c r="HPY42" s="73"/>
      <c r="HPZ42" s="73"/>
      <c r="HQA42" s="73"/>
      <c r="HQB42" s="73"/>
      <c r="HQC42" s="73"/>
      <c r="HQD42" s="73"/>
      <c r="HQE42" s="73"/>
      <c r="HQF42" s="73"/>
      <c r="HQG42" s="73"/>
      <c r="HQH42" s="73"/>
      <c r="HQI42" s="73"/>
      <c r="HQJ42" s="73"/>
      <c r="HQK42" s="73"/>
      <c r="HQL42" s="73"/>
      <c r="HQM42" s="73"/>
      <c r="HQN42" s="73"/>
      <c r="HQO42" s="73"/>
      <c r="HQP42" s="73"/>
      <c r="HQQ42" s="73"/>
      <c r="HQR42" s="73"/>
      <c r="HQS42" s="73"/>
      <c r="HQT42" s="73"/>
      <c r="HQU42" s="73"/>
      <c r="HQV42" s="73"/>
      <c r="HQW42" s="73"/>
      <c r="HQX42" s="73"/>
      <c r="HQY42" s="73"/>
      <c r="HQZ42" s="73"/>
      <c r="HRA42" s="73"/>
      <c r="HRB42" s="73"/>
      <c r="HRC42" s="73"/>
      <c r="HRD42" s="73"/>
      <c r="HRE42" s="73"/>
      <c r="HRF42" s="73"/>
      <c r="HRG42" s="73"/>
      <c r="HRH42" s="73"/>
      <c r="HRI42" s="73"/>
      <c r="HRJ42" s="73"/>
      <c r="HRK42" s="73"/>
      <c r="HRL42" s="73"/>
      <c r="HRM42" s="73"/>
      <c r="HRN42" s="73"/>
      <c r="HRO42" s="73"/>
      <c r="HRP42" s="73"/>
      <c r="HRQ42" s="73"/>
      <c r="HRR42" s="73"/>
      <c r="HRS42" s="73"/>
      <c r="HRT42" s="73"/>
      <c r="HRU42" s="73"/>
      <c r="HRV42" s="73"/>
      <c r="HRW42" s="73"/>
      <c r="HRX42" s="73"/>
      <c r="HRY42" s="73"/>
      <c r="HRZ42" s="73"/>
      <c r="HSA42" s="73"/>
      <c r="HSB42" s="73"/>
      <c r="HSC42" s="73"/>
      <c r="HSD42" s="73"/>
      <c r="HSE42" s="73"/>
      <c r="HSF42" s="73"/>
      <c r="HSG42" s="73"/>
      <c r="HSH42" s="73"/>
      <c r="HSI42" s="73"/>
      <c r="HSJ42" s="73"/>
      <c r="HSK42" s="73"/>
      <c r="HSL42" s="73"/>
      <c r="HSM42" s="73"/>
      <c r="HSN42" s="73"/>
      <c r="HSO42" s="73"/>
      <c r="HSP42" s="73"/>
      <c r="HSQ42" s="73"/>
      <c r="HSR42" s="73"/>
      <c r="HSS42" s="73"/>
      <c r="HST42" s="73"/>
      <c r="HSU42" s="73"/>
      <c r="HSV42" s="73"/>
      <c r="HSW42" s="73"/>
      <c r="HSX42" s="73"/>
      <c r="HSY42" s="73"/>
      <c r="HSZ42" s="73"/>
      <c r="HTA42" s="73"/>
      <c r="HTB42" s="73"/>
      <c r="HTC42" s="73"/>
      <c r="HTD42" s="73"/>
      <c r="HTE42" s="73"/>
      <c r="HTF42" s="73"/>
      <c r="HTG42" s="73"/>
      <c r="HTH42" s="73"/>
      <c r="HTI42" s="73"/>
      <c r="HTJ42" s="73"/>
      <c r="HTK42" s="73"/>
      <c r="HTL42" s="73"/>
      <c r="HTM42" s="73"/>
      <c r="HTN42" s="73"/>
      <c r="HTO42" s="73"/>
      <c r="HTP42" s="73"/>
      <c r="HTQ42" s="73"/>
      <c r="HTR42" s="73"/>
      <c r="HTS42" s="73"/>
      <c r="HTT42" s="73"/>
      <c r="HTU42" s="73"/>
      <c r="HTV42" s="73"/>
      <c r="HTW42" s="73"/>
      <c r="HTX42" s="73"/>
      <c r="HTY42" s="73"/>
      <c r="HTZ42" s="73"/>
      <c r="HUA42" s="73"/>
      <c r="HUB42" s="73"/>
      <c r="HUC42" s="73"/>
      <c r="HUD42" s="73"/>
      <c r="HUE42" s="73"/>
      <c r="HUF42" s="73"/>
      <c r="HUG42" s="73"/>
      <c r="HUH42" s="73"/>
      <c r="HUI42" s="73"/>
      <c r="HUJ42" s="73"/>
      <c r="HUK42" s="73"/>
      <c r="HUL42" s="73"/>
      <c r="HUM42" s="73"/>
      <c r="HUN42" s="73"/>
      <c r="HUO42" s="73"/>
      <c r="HUP42" s="73"/>
      <c r="HUQ42" s="73"/>
      <c r="HUR42" s="73"/>
      <c r="HUS42" s="73"/>
      <c r="HUT42" s="73"/>
      <c r="HUU42" s="73"/>
      <c r="HUV42" s="73"/>
      <c r="HUW42" s="73"/>
      <c r="HUX42" s="73"/>
      <c r="HUY42" s="73"/>
      <c r="HUZ42" s="73"/>
      <c r="HVA42" s="73"/>
      <c r="HVB42" s="73"/>
      <c r="HVC42" s="73"/>
      <c r="HVD42" s="73"/>
      <c r="HVE42" s="73"/>
      <c r="HVF42" s="73"/>
      <c r="HVG42" s="73"/>
      <c r="HVH42" s="73"/>
      <c r="HVI42" s="73"/>
      <c r="HVJ42" s="73"/>
      <c r="HVK42" s="73"/>
      <c r="HVL42" s="73"/>
      <c r="HVM42" s="73"/>
      <c r="HVN42" s="73"/>
      <c r="HVO42" s="73"/>
      <c r="HVP42" s="73"/>
      <c r="HVQ42" s="73"/>
      <c r="HVR42" s="73"/>
      <c r="HVS42" s="73"/>
      <c r="HVT42" s="73"/>
      <c r="HVU42" s="73"/>
      <c r="HVV42" s="73"/>
      <c r="HVW42" s="73"/>
      <c r="HVX42" s="73"/>
      <c r="HVY42" s="73"/>
      <c r="HVZ42" s="73"/>
      <c r="HWA42" s="73"/>
      <c r="HWB42" s="73"/>
      <c r="HWC42" s="73"/>
      <c r="HWD42" s="73"/>
      <c r="HWE42" s="73"/>
      <c r="HWF42" s="73"/>
      <c r="HWG42" s="73"/>
      <c r="HWH42" s="73"/>
      <c r="HWI42" s="73"/>
      <c r="HWJ42" s="73"/>
      <c r="HWK42" s="73"/>
      <c r="HWL42" s="73"/>
      <c r="HWM42" s="73"/>
      <c r="HWN42" s="73"/>
      <c r="HWO42" s="73"/>
      <c r="HWP42" s="73"/>
      <c r="HWQ42" s="73"/>
      <c r="HWR42" s="73"/>
      <c r="HWS42" s="73"/>
      <c r="HWT42" s="73"/>
      <c r="HWU42" s="73"/>
      <c r="HWV42" s="73"/>
      <c r="HWW42" s="73"/>
      <c r="HWX42" s="73"/>
      <c r="HWY42" s="73"/>
      <c r="HWZ42" s="73"/>
      <c r="HXA42" s="73"/>
      <c r="HXB42" s="73"/>
      <c r="HXC42" s="73"/>
      <c r="HXD42" s="73"/>
      <c r="HXE42" s="73"/>
      <c r="HXF42" s="73"/>
      <c r="HXG42" s="73"/>
      <c r="HXH42" s="73"/>
      <c r="HXI42" s="73"/>
      <c r="HXJ42" s="73"/>
      <c r="HXK42" s="73"/>
      <c r="HXL42" s="73"/>
      <c r="HXM42" s="73"/>
      <c r="HXN42" s="73"/>
      <c r="HXO42" s="73"/>
      <c r="HXP42" s="73"/>
      <c r="HXQ42" s="73"/>
      <c r="HXR42" s="73"/>
      <c r="HXS42" s="73"/>
      <c r="HXT42" s="73"/>
      <c r="HXU42" s="73"/>
      <c r="HXV42" s="73"/>
      <c r="HXW42" s="73"/>
      <c r="HXX42" s="73"/>
      <c r="HXY42" s="73"/>
      <c r="HXZ42" s="73"/>
      <c r="HYA42" s="73"/>
      <c r="HYB42" s="73"/>
      <c r="HYC42" s="73"/>
      <c r="HYD42" s="73"/>
      <c r="HYE42" s="73"/>
      <c r="HYF42" s="73"/>
      <c r="HYG42" s="73"/>
      <c r="HYH42" s="73"/>
      <c r="HYI42" s="73"/>
      <c r="HYJ42" s="73"/>
      <c r="HYK42" s="73"/>
      <c r="HYL42" s="73"/>
      <c r="HYM42" s="73"/>
      <c r="HYN42" s="73"/>
      <c r="HYO42" s="73"/>
      <c r="HYP42" s="73"/>
      <c r="HYQ42" s="73"/>
      <c r="HYR42" s="73"/>
      <c r="HYS42" s="73"/>
      <c r="HYT42" s="73"/>
      <c r="HYU42" s="73"/>
      <c r="HYV42" s="73"/>
      <c r="HYW42" s="73"/>
      <c r="HYX42" s="73"/>
      <c r="HYY42" s="73"/>
      <c r="HYZ42" s="73"/>
      <c r="HZA42" s="73"/>
      <c r="HZB42" s="73"/>
      <c r="HZC42" s="73"/>
      <c r="HZD42" s="73"/>
      <c r="HZE42" s="73"/>
      <c r="HZF42" s="73"/>
      <c r="HZG42" s="73"/>
      <c r="HZH42" s="73"/>
      <c r="HZI42" s="73"/>
      <c r="HZJ42" s="73"/>
      <c r="HZK42" s="73"/>
      <c r="HZL42" s="73"/>
      <c r="HZM42" s="73"/>
      <c r="HZN42" s="73"/>
      <c r="HZO42" s="73"/>
      <c r="HZP42" s="73"/>
      <c r="HZQ42" s="73"/>
      <c r="HZR42" s="73"/>
      <c r="HZS42" s="73"/>
      <c r="HZT42" s="73"/>
      <c r="HZU42" s="73"/>
      <c r="HZV42" s="73"/>
      <c r="HZW42" s="73"/>
      <c r="HZX42" s="73"/>
      <c r="HZY42" s="73"/>
      <c r="HZZ42" s="73"/>
      <c r="IAA42" s="73"/>
      <c r="IAB42" s="73"/>
      <c r="IAC42" s="73"/>
      <c r="IAD42" s="73"/>
      <c r="IAE42" s="73"/>
      <c r="IAF42" s="73"/>
      <c r="IAG42" s="73"/>
      <c r="IAH42" s="73"/>
      <c r="IAI42" s="73"/>
      <c r="IAJ42" s="73"/>
      <c r="IAK42" s="73"/>
      <c r="IAL42" s="73"/>
      <c r="IAM42" s="73"/>
      <c r="IAN42" s="73"/>
      <c r="IAO42" s="73"/>
      <c r="IAP42" s="73"/>
      <c r="IAQ42" s="73"/>
      <c r="IAR42" s="73"/>
      <c r="IAS42" s="73"/>
      <c r="IAT42" s="73"/>
      <c r="IAU42" s="73"/>
      <c r="IAV42" s="73"/>
      <c r="IAW42" s="73"/>
      <c r="IAX42" s="73"/>
      <c r="IAY42" s="73"/>
      <c r="IAZ42" s="73"/>
      <c r="IBA42" s="73"/>
      <c r="IBB42" s="73"/>
      <c r="IBC42" s="73"/>
      <c r="IBD42" s="73"/>
      <c r="IBE42" s="73"/>
      <c r="IBF42" s="73"/>
      <c r="IBG42" s="73"/>
      <c r="IBH42" s="73"/>
      <c r="IBI42" s="73"/>
      <c r="IBJ42" s="73"/>
      <c r="IBK42" s="73"/>
      <c r="IBL42" s="73"/>
      <c r="IBM42" s="73"/>
      <c r="IBN42" s="73"/>
      <c r="IBO42" s="73"/>
      <c r="IBP42" s="73"/>
      <c r="IBQ42" s="73"/>
      <c r="IBR42" s="73"/>
      <c r="IBS42" s="73"/>
      <c r="IBT42" s="73"/>
      <c r="IBU42" s="73"/>
      <c r="IBV42" s="73"/>
      <c r="IBW42" s="73"/>
      <c r="IBX42" s="73"/>
      <c r="IBY42" s="73"/>
      <c r="IBZ42" s="73"/>
      <c r="ICA42" s="73"/>
      <c r="ICB42" s="73"/>
      <c r="ICC42" s="73"/>
      <c r="ICD42" s="73"/>
      <c r="ICE42" s="73"/>
      <c r="ICF42" s="73"/>
      <c r="ICG42" s="73"/>
      <c r="ICH42" s="73"/>
      <c r="ICI42" s="73"/>
      <c r="ICJ42" s="73"/>
      <c r="ICK42" s="73"/>
      <c r="ICL42" s="73"/>
      <c r="ICM42" s="73"/>
      <c r="ICN42" s="73"/>
      <c r="ICO42" s="73"/>
      <c r="ICP42" s="73"/>
      <c r="ICQ42" s="73"/>
      <c r="ICR42" s="73"/>
      <c r="ICS42" s="73"/>
      <c r="ICT42" s="73"/>
      <c r="ICU42" s="73"/>
      <c r="ICV42" s="73"/>
      <c r="ICW42" s="73"/>
      <c r="ICX42" s="73"/>
      <c r="ICY42" s="73"/>
      <c r="ICZ42" s="73"/>
      <c r="IDA42" s="73"/>
      <c r="IDB42" s="73"/>
      <c r="IDC42" s="73"/>
      <c r="IDD42" s="73"/>
      <c r="IDE42" s="73"/>
      <c r="IDF42" s="73"/>
      <c r="IDG42" s="73"/>
      <c r="IDH42" s="73"/>
      <c r="IDI42" s="73"/>
      <c r="IDJ42" s="73"/>
      <c r="IDK42" s="73"/>
      <c r="IDL42" s="73"/>
      <c r="IDM42" s="73"/>
      <c r="IDN42" s="73"/>
      <c r="IDO42" s="73"/>
      <c r="IDP42" s="73"/>
      <c r="IDQ42" s="73"/>
      <c r="IDR42" s="73"/>
      <c r="IDS42" s="73"/>
      <c r="IDT42" s="73"/>
      <c r="IDU42" s="73"/>
      <c r="IDV42" s="73"/>
      <c r="IDW42" s="73"/>
      <c r="IDX42" s="73"/>
      <c r="IDY42" s="73"/>
      <c r="IDZ42" s="73"/>
      <c r="IEA42" s="73"/>
      <c r="IEB42" s="73"/>
      <c r="IEC42" s="73"/>
      <c r="IED42" s="73"/>
      <c r="IEE42" s="73"/>
      <c r="IEF42" s="73"/>
      <c r="IEG42" s="73"/>
      <c r="IEH42" s="73"/>
      <c r="IEI42" s="73"/>
      <c r="IEJ42" s="73"/>
      <c r="IEK42" s="73"/>
      <c r="IEL42" s="73"/>
      <c r="IEM42" s="73"/>
      <c r="IEN42" s="73"/>
      <c r="IEO42" s="73"/>
      <c r="IEP42" s="73"/>
      <c r="IEQ42" s="73"/>
      <c r="IER42" s="73"/>
      <c r="IES42" s="73"/>
      <c r="IET42" s="73"/>
      <c r="IEU42" s="73"/>
      <c r="IEV42" s="73"/>
      <c r="IEW42" s="73"/>
      <c r="IEX42" s="73"/>
      <c r="IEY42" s="73"/>
      <c r="IEZ42" s="73"/>
      <c r="IFA42" s="73"/>
      <c r="IFB42" s="73"/>
      <c r="IFC42" s="73"/>
      <c r="IFD42" s="73"/>
      <c r="IFE42" s="73"/>
      <c r="IFF42" s="73"/>
      <c r="IFG42" s="73"/>
      <c r="IFH42" s="73"/>
      <c r="IFI42" s="73"/>
      <c r="IFJ42" s="73"/>
      <c r="IFK42" s="73"/>
      <c r="IFL42" s="73"/>
      <c r="IFM42" s="73"/>
      <c r="IFN42" s="73"/>
      <c r="IFO42" s="73"/>
      <c r="IFP42" s="73"/>
      <c r="IFQ42" s="73"/>
      <c r="IFR42" s="73"/>
      <c r="IFS42" s="73"/>
      <c r="IFT42" s="73"/>
      <c r="IFU42" s="73"/>
      <c r="IFV42" s="73"/>
      <c r="IFW42" s="73"/>
      <c r="IFX42" s="73"/>
      <c r="IFY42" s="73"/>
      <c r="IFZ42" s="73"/>
      <c r="IGA42" s="73"/>
      <c r="IGB42" s="73"/>
      <c r="IGC42" s="73"/>
      <c r="IGD42" s="73"/>
      <c r="IGE42" s="73"/>
      <c r="IGF42" s="73"/>
      <c r="IGG42" s="73"/>
      <c r="IGH42" s="73"/>
      <c r="IGI42" s="73"/>
      <c r="IGJ42" s="73"/>
      <c r="IGK42" s="73"/>
      <c r="IGL42" s="73"/>
      <c r="IGM42" s="73"/>
      <c r="IGN42" s="73"/>
      <c r="IGO42" s="73"/>
      <c r="IGP42" s="73"/>
      <c r="IGQ42" s="73"/>
      <c r="IGR42" s="73"/>
      <c r="IGS42" s="73"/>
      <c r="IGT42" s="73"/>
      <c r="IGU42" s="73"/>
      <c r="IGV42" s="73"/>
      <c r="IGW42" s="73"/>
      <c r="IGX42" s="73"/>
      <c r="IGY42" s="73"/>
      <c r="IGZ42" s="73"/>
      <c r="IHA42" s="73"/>
      <c r="IHB42" s="73"/>
      <c r="IHC42" s="73"/>
      <c r="IHD42" s="73"/>
      <c r="IHE42" s="73"/>
      <c r="IHF42" s="73"/>
      <c r="IHG42" s="73"/>
      <c r="IHH42" s="73"/>
      <c r="IHI42" s="73"/>
      <c r="IHJ42" s="73"/>
      <c r="IHK42" s="73"/>
      <c r="IHL42" s="73"/>
      <c r="IHM42" s="73"/>
      <c r="IHN42" s="73"/>
      <c r="IHO42" s="73"/>
      <c r="IHP42" s="73"/>
      <c r="IHQ42" s="73"/>
      <c r="IHR42" s="73"/>
      <c r="IHS42" s="73"/>
      <c r="IHT42" s="73"/>
      <c r="IHU42" s="73"/>
      <c r="IHV42" s="73"/>
      <c r="IHW42" s="73"/>
      <c r="IHX42" s="73"/>
      <c r="IHY42" s="73"/>
      <c r="IHZ42" s="73"/>
      <c r="IIA42" s="73"/>
      <c r="IIB42" s="73"/>
      <c r="IIC42" s="73"/>
      <c r="IID42" s="73"/>
      <c r="IIE42" s="73"/>
      <c r="IIF42" s="73"/>
      <c r="IIG42" s="73"/>
      <c r="IIH42" s="73"/>
      <c r="III42" s="73"/>
      <c r="IIJ42" s="73"/>
      <c r="IIK42" s="73"/>
      <c r="IIL42" s="73"/>
      <c r="IIM42" s="73"/>
      <c r="IIN42" s="73"/>
      <c r="IIO42" s="73"/>
      <c r="IIP42" s="73"/>
      <c r="IIQ42" s="73"/>
      <c r="IIR42" s="73"/>
      <c r="IIS42" s="73"/>
      <c r="IIT42" s="73"/>
      <c r="IIU42" s="73"/>
      <c r="IIV42" s="73"/>
      <c r="IIW42" s="73"/>
      <c r="IIX42" s="73"/>
      <c r="IIY42" s="73"/>
      <c r="IIZ42" s="73"/>
      <c r="IJA42" s="73"/>
      <c r="IJB42" s="73"/>
      <c r="IJC42" s="73"/>
      <c r="IJD42" s="73"/>
      <c r="IJE42" s="73"/>
      <c r="IJF42" s="73"/>
      <c r="IJG42" s="73"/>
      <c r="IJH42" s="73"/>
      <c r="IJI42" s="73"/>
      <c r="IJJ42" s="73"/>
      <c r="IJK42" s="73"/>
      <c r="IJL42" s="73"/>
      <c r="IJM42" s="73"/>
      <c r="IJN42" s="73"/>
      <c r="IJO42" s="73"/>
      <c r="IJP42" s="73"/>
      <c r="IJQ42" s="73"/>
      <c r="IJR42" s="73"/>
      <c r="IJS42" s="73"/>
      <c r="IJT42" s="73"/>
      <c r="IJU42" s="73"/>
      <c r="IJV42" s="73"/>
      <c r="IJW42" s="73"/>
      <c r="IJX42" s="73"/>
      <c r="IJY42" s="73"/>
      <c r="IJZ42" s="73"/>
      <c r="IKA42" s="73"/>
      <c r="IKB42" s="73"/>
      <c r="IKC42" s="73"/>
      <c r="IKD42" s="73"/>
      <c r="IKE42" s="73"/>
      <c r="IKF42" s="73"/>
      <c r="IKG42" s="73"/>
      <c r="IKH42" s="73"/>
      <c r="IKI42" s="73"/>
      <c r="IKJ42" s="73"/>
      <c r="IKK42" s="73"/>
      <c r="IKL42" s="73"/>
      <c r="IKM42" s="73"/>
      <c r="IKN42" s="73"/>
      <c r="IKO42" s="73"/>
      <c r="IKP42" s="73"/>
      <c r="IKQ42" s="73"/>
      <c r="IKR42" s="73"/>
      <c r="IKS42" s="73"/>
      <c r="IKT42" s="73"/>
      <c r="IKU42" s="73"/>
      <c r="IKV42" s="73"/>
      <c r="IKW42" s="73"/>
      <c r="IKX42" s="73"/>
      <c r="IKY42" s="73"/>
      <c r="IKZ42" s="73"/>
      <c r="ILA42" s="73"/>
      <c r="ILB42" s="73"/>
      <c r="ILC42" s="73"/>
      <c r="ILD42" s="73"/>
      <c r="ILE42" s="73"/>
      <c r="ILF42" s="73"/>
      <c r="ILG42" s="73"/>
      <c r="ILH42" s="73"/>
      <c r="ILI42" s="73"/>
      <c r="ILJ42" s="73"/>
      <c r="ILK42" s="73"/>
      <c r="ILL42" s="73"/>
      <c r="ILM42" s="73"/>
      <c r="ILN42" s="73"/>
      <c r="ILO42" s="73"/>
      <c r="ILP42" s="73"/>
      <c r="ILQ42" s="73"/>
      <c r="ILR42" s="73"/>
      <c r="ILS42" s="73"/>
      <c r="ILT42" s="73"/>
      <c r="ILU42" s="73"/>
      <c r="ILV42" s="73"/>
      <c r="ILW42" s="73"/>
      <c r="ILX42" s="73"/>
      <c r="ILY42" s="73"/>
      <c r="ILZ42" s="73"/>
      <c r="IMA42" s="73"/>
      <c r="IMB42" s="73"/>
      <c r="IMC42" s="73"/>
      <c r="IMD42" s="73"/>
      <c r="IME42" s="73"/>
      <c r="IMF42" s="73"/>
      <c r="IMG42" s="73"/>
      <c r="IMH42" s="73"/>
      <c r="IMI42" s="73"/>
      <c r="IMJ42" s="73"/>
      <c r="IMK42" s="73"/>
      <c r="IML42" s="73"/>
      <c r="IMM42" s="73"/>
      <c r="IMN42" s="73"/>
      <c r="IMO42" s="73"/>
      <c r="IMP42" s="73"/>
      <c r="IMQ42" s="73"/>
      <c r="IMR42" s="73"/>
      <c r="IMS42" s="73"/>
      <c r="IMT42" s="73"/>
      <c r="IMU42" s="73"/>
      <c r="IMV42" s="73"/>
      <c r="IMW42" s="73"/>
      <c r="IMX42" s="73"/>
      <c r="IMY42" s="73"/>
      <c r="IMZ42" s="73"/>
      <c r="INA42" s="73"/>
      <c r="INB42" s="73"/>
      <c r="INC42" s="73"/>
      <c r="IND42" s="73"/>
      <c r="INE42" s="73"/>
      <c r="INF42" s="73"/>
      <c r="ING42" s="73"/>
      <c r="INH42" s="73"/>
      <c r="INI42" s="73"/>
      <c r="INJ42" s="73"/>
      <c r="INK42" s="73"/>
      <c r="INL42" s="73"/>
      <c r="INM42" s="73"/>
      <c r="INN42" s="73"/>
      <c r="INO42" s="73"/>
      <c r="INP42" s="73"/>
      <c r="INQ42" s="73"/>
      <c r="INR42" s="73"/>
      <c r="INS42" s="73"/>
      <c r="INT42" s="73"/>
      <c r="INU42" s="73"/>
      <c r="INV42" s="73"/>
      <c r="INW42" s="73"/>
      <c r="INX42" s="73"/>
      <c r="INY42" s="73"/>
      <c r="INZ42" s="73"/>
      <c r="IOA42" s="73"/>
      <c r="IOB42" s="73"/>
      <c r="IOC42" s="73"/>
      <c r="IOD42" s="73"/>
      <c r="IOE42" s="73"/>
      <c r="IOF42" s="73"/>
      <c r="IOG42" s="73"/>
      <c r="IOH42" s="73"/>
      <c r="IOI42" s="73"/>
      <c r="IOJ42" s="73"/>
      <c r="IOK42" s="73"/>
      <c r="IOL42" s="73"/>
      <c r="IOM42" s="73"/>
      <c r="ION42" s="73"/>
      <c r="IOO42" s="73"/>
      <c r="IOP42" s="73"/>
      <c r="IOQ42" s="73"/>
      <c r="IOR42" s="73"/>
      <c r="IOS42" s="73"/>
      <c r="IOT42" s="73"/>
      <c r="IOU42" s="73"/>
      <c r="IOV42" s="73"/>
      <c r="IOW42" s="73"/>
      <c r="IOX42" s="73"/>
      <c r="IOY42" s="73"/>
      <c r="IOZ42" s="73"/>
      <c r="IPA42" s="73"/>
      <c r="IPB42" s="73"/>
      <c r="IPC42" s="73"/>
      <c r="IPD42" s="73"/>
      <c r="IPE42" s="73"/>
      <c r="IPF42" s="73"/>
      <c r="IPG42" s="73"/>
      <c r="IPH42" s="73"/>
      <c r="IPI42" s="73"/>
      <c r="IPJ42" s="73"/>
      <c r="IPK42" s="73"/>
      <c r="IPL42" s="73"/>
      <c r="IPM42" s="73"/>
      <c r="IPN42" s="73"/>
      <c r="IPO42" s="73"/>
      <c r="IPP42" s="73"/>
      <c r="IPQ42" s="73"/>
      <c r="IPR42" s="73"/>
      <c r="IPS42" s="73"/>
      <c r="IPT42" s="73"/>
      <c r="IPU42" s="73"/>
      <c r="IPV42" s="73"/>
      <c r="IPW42" s="73"/>
      <c r="IPX42" s="73"/>
      <c r="IPY42" s="73"/>
      <c r="IPZ42" s="73"/>
      <c r="IQA42" s="73"/>
      <c r="IQB42" s="73"/>
      <c r="IQC42" s="73"/>
      <c r="IQD42" s="73"/>
      <c r="IQE42" s="73"/>
      <c r="IQF42" s="73"/>
      <c r="IQG42" s="73"/>
      <c r="IQH42" s="73"/>
      <c r="IQI42" s="73"/>
      <c r="IQJ42" s="73"/>
      <c r="IQK42" s="73"/>
      <c r="IQL42" s="73"/>
      <c r="IQM42" s="73"/>
      <c r="IQN42" s="73"/>
      <c r="IQO42" s="73"/>
      <c r="IQP42" s="73"/>
      <c r="IQQ42" s="73"/>
      <c r="IQR42" s="73"/>
      <c r="IQS42" s="73"/>
      <c r="IQT42" s="73"/>
      <c r="IQU42" s="73"/>
      <c r="IQV42" s="73"/>
      <c r="IQW42" s="73"/>
      <c r="IQX42" s="73"/>
      <c r="IQY42" s="73"/>
      <c r="IQZ42" s="73"/>
      <c r="IRA42" s="73"/>
      <c r="IRB42" s="73"/>
      <c r="IRC42" s="73"/>
      <c r="IRD42" s="73"/>
      <c r="IRE42" s="73"/>
      <c r="IRF42" s="73"/>
      <c r="IRG42" s="73"/>
      <c r="IRH42" s="73"/>
      <c r="IRI42" s="73"/>
      <c r="IRJ42" s="73"/>
      <c r="IRK42" s="73"/>
      <c r="IRL42" s="73"/>
      <c r="IRM42" s="73"/>
      <c r="IRN42" s="73"/>
      <c r="IRO42" s="73"/>
      <c r="IRP42" s="73"/>
      <c r="IRQ42" s="73"/>
      <c r="IRR42" s="73"/>
      <c r="IRS42" s="73"/>
      <c r="IRT42" s="73"/>
      <c r="IRU42" s="73"/>
      <c r="IRV42" s="73"/>
      <c r="IRW42" s="73"/>
      <c r="IRX42" s="73"/>
      <c r="IRY42" s="73"/>
      <c r="IRZ42" s="73"/>
      <c r="ISA42" s="73"/>
      <c r="ISB42" s="73"/>
      <c r="ISC42" s="73"/>
      <c r="ISD42" s="73"/>
      <c r="ISE42" s="73"/>
      <c r="ISF42" s="73"/>
      <c r="ISG42" s="73"/>
      <c r="ISH42" s="73"/>
      <c r="ISI42" s="73"/>
      <c r="ISJ42" s="73"/>
      <c r="ISK42" s="73"/>
      <c r="ISL42" s="73"/>
      <c r="ISM42" s="73"/>
      <c r="ISN42" s="73"/>
      <c r="ISO42" s="73"/>
      <c r="ISP42" s="73"/>
      <c r="ISQ42" s="73"/>
      <c r="ISR42" s="73"/>
      <c r="ISS42" s="73"/>
      <c r="IST42" s="73"/>
      <c r="ISU42" s="73"/>
      <c r="ISV42" s="73"/>
      <c r="ISW42" s="73"/>
      <c r="ISX42" s="73"/>
      <c r="ISY42" s="73"/>
      <c r="ISZ42" s="73"/>
      <c r="ITA42" s="73"/>
      <c r="ITB42" s="73"/>
      <c r="ITC42" s="73"/>
      <c r="ITD42" s="73"/>
      <c r="ITE42" s="73"/>
      <c r="ITF42" s="73"/>
      <c r="ITG42" s="73"/>
      <c r="ITH42" s="73"/>
      <c r="ITI42" s="73"/>
      <c r="ITJ42" s="73"/>
      <c r="ITK42" s="73"/>
      <c r="ITL42" s="73"/>
      <c r="ITM42" s="73"/>
      <c r="ITN42" s="73"/>
      <c r="ITO42" s="73"/>
      <c r="ITP42" s="73"/>
      <c r="ITQ42" s="73"/>
      <c r="ITR42" s="73"/>
      <c r="ITS42" s="73"/>
      <c r="ITT42" s="73"/>
      <c r="ITU42" s="73"/>
      <c r="ITV42" s="73"/>
      <c r="ITW42" s="73"/>
      <c r="ITX42" s="73"/>
      <c r="ITY42" s="73"/>
      <c r="ITZ42" s="73"/>
      <c r="IUA42" s="73"/>
      <c r="IUB42" s="73"/>
      <c r="IUC42" s="73"/>
      <c r="IUD42" s="73"/>
      <c r="IUE42" s="73"/>
      <c r="IUF42" s="73"/>
      <c r="IUG42" s="73"/>
      <c r="IUH42" s="73"/>
      <c r="IUI42" s="73"/>
      <c r="IUJ42" s="73"/>
      <c r="IUK42" s="73"/>
      <c r="IUL42" s="73"/>
      <c r="IUM42" s="73"/>
      <c r="IUN42" s="73"/>
      <c r="IUO42" s="73"/>
      <c r="IUP42" s="73"/>
      <c r="IUQ42" s="73"/>
      <c r="IUR42" s="73"/>
      <c r="IUS42" s="73"/>
      <c r="IUT42" s="73"/>
      <c r="IUU42" s="73"/>
      <c r="IUV42" s="73"/>
      <c r="IUW42" s="73"/>
      <c r="IUX42" s="73"/>
      <c r="IUY42" s="73"/>
      <c r="IUZ42" s="73"/>
      <c r="IVA42" s="73"/>
      <c r="IVB42" s="73"/>
      <c r="IVC42" s="73"/>
      <c r="IVD42" s="73"/>
      <c r="IVE42" s="73"/>
      <c r="IVF42" s="73"/>
      <c r="IVG42" s="73"/>
      <c r="IVH42" s="73"/>
      <c r="IVI42" s="73"/>
      <c r="IVJ42" s="73"/>
      <c r="IVK42" s="73"/>
      <c r="IVL42" s="73"/>
      <c r="IVM42" s="73"/>
      <c r="IVN42" s="73"/>
      <c r="IVO42" s="73"/>
      <c r="IVP42" s="73"/>
      <c r="IVQ42" s="73"/>
      <c r="IVR42" s="73"/>
      <c r="IVS42" s="73"/>
      <c r="IVT42" s="73"/>
      <c r="IVU42" s="73"/>
      <c r="IVV42" s="73"/>
      <c r="IVW42" s="73"/>
      <c r="IVX42" s="73"/>
      <c r="IVY42" s="73"/>
      <c r="IVZ42" s="73"/>
      <c r="IWA42" s="73"/>
      <c r="IWB42" s="73"/>
      <c r="IWC42" s="73"/>
      <c r="IWD42" s="73"/>
      <c r="IWE42" s="73"/>
      <c r="IWF42" s="73"/>
      <c r="IWG42" s="73"/>
      <c r="IWH42" s="73"/>
      <c r="IWI42" s="73"/>
      <c r="IWJ42" s="73"/>
      <c r="IWK42" s="73"/>
      <c r="IWL42" s="73"/>
      <c r="IWM42" s="73"/>
      <c r="IWN42" s="73"/>
      <c r="IWO42" s="73"/>
      <c r="IWP42" s="73"/>
      <c r="IWQ42" s="73"/>
      <c r="IWR42" s="73"/>
      <c r="IWS42" s="73"/>
      <c r="IWT42" s="73"/>
      <c r="IWU42" s="73"/>
      <c r="IWV42" s="73"/>
      <c r="IWW42" s="73"/>
      <c r="IWX42" s="73"/>
      <c r="IWY42" s="73"/>
      <c r="IWZ42" s="73"/>
      <c r="IXA42" s="73"/>
      <c r="IXB42" s="73"/>
      <c r="IXC42" s="73"/>
      <c r="IXD42" s="73"/>
      <c r="IXE42" s="73"/>
      <c r="IXF42" s="73"/>
      <c r="IXG42" s="73"/>
      <c r="IXH42" s="73"/>
      <c r="IXI42" s="73"/>
      <c r="IXJ42" s="73"/>
      <c r="IXK42" s="73"/>
      <c r="IXL42" s="73"/>
      <c r="IXM42" s="73"/>
      <c r="IXN42" s="73"/>
      <c r="IXO42" s="73"/>
      <c r="IXP42" s="73"/>
      <c r="IXQ42" s="73"/>
      <c r="IXR42" s="73"/>
      <c r="IXS42" s="73"/>
      <c r="IXT42" s="73"/>
      <c r="IXU42" s="73"/>
      <c r="IXV42" s="73"/>
      <c r="IXW42" s="73"/>
      <c r="IXX42" s="73"/>
      <c r="IXY42" s="73"/>
      <c r="IXZ42" s="73"/>
      <c r="IYA42" s="73"/>
      <c r="IYB42" s="73"/>
      <c r="IYC42" s="73"/>
      <c r="IYD42" s="73"/>
      <c r="IYE42" s="73"/>
      <c r="IYF42" s="73"/>
      <c r="IYG42" s="73"/>
      <c r="IYH42" s="73"/>
      <c r="IYI42" s="73"/>
      <c r="IYJ42" s="73"/>
      <c r="IYK42" s="73"/>
      <c r="IYL42" s="73"/>
      <c r="IYM42" s="73"/>
      <c r="IYN42" s="73"/>
      <c r="IYO42" s="73"/>
      <c r="IYP42" s="73"/>
      <c r="IYQ42" s="73"/>
      <c r="IYR42" s="73"/>
      <c r="IYS42" s="73"/>
      <c r="IYT42" s="73"/>
      <c r="IYU42" s="73"/>
      <c r="IYV42" s="73"/>
      <c r="IYW42" s="73"/>
      <c r="IYX42" s="73"/>
      <c r="IYY42" s="73"/>
      <c r="IYZ42" s="73"/>
      <c r="IZA42" s="73"/>
      <c r="IZB42" s="73"/>
      <c r="IZC42" s="73"/>
      <c r="IZD42" s="73"/>
      <c r="IZE42" s="73"/>
      <c r="IZF42" s="73"/>
      <c r="IZG42" s="73"/>
      <c r="IZH42" s="73"/>
      <c r="IZI42" s="73"/>
      <c r="IZJ42" s="73"/>
      <c r="IZK42" s="73"/>
      <c r="IZL42" s="73"/>
      <c r="IZM42" s="73"/>
      <c r="IZN42" s="73"/>
      <c r="IZO42" s="73"/>
      <c r="IZP42" s="73"/>
      <c r="IZQ42" s="73"/>
      <c r="IZR42" s="73"/>
      <c r="IZS42" s="73"/>
      <c r="IZT42" s="73"/>
      <c r="IZU42" s="73"/>
      <c r="IZV42" s="73"/>
      <c r="IZW42" s="73"/>
      <c r="IZX42" s="73"/>
      <c r="IZY42" s="73"/>
      <c r="IZZ42" s="73"/>
      <c r="JAA42" s="73"/>
      <c r="JAB42" s="73"/>
      <c r="JAC42" s="73"/>
      <c r="JAD42" s="73"/>
      <c r="JAE42" s="73"/>
      <c r="JAF42" s="73"/>
      <c r="JAG42" s="73"/>
      <c r="JAH42" s="73"/>
      <c r="JAI42" s="73"/>
      <c r="JAJ42" s="73"/>
      <c r="JAK42" s="73"/>
      <c r="JAL42" s="73"/>
      <c r="JAM42" s="73"/>
      <c r="JAN42" s="73"/>
      <c r="JAO42" s="73"/>
      <c r="JAP42" s="73"/>
      <c r="JAQ42" s="73"/>
      <c r="JAR42" s="73"/>
      <c r="JAS42" s="73"/>
      <c r="JAT42" s="73"/>
      <c r="JAU42" s="73"/>
      <c r="JAV42" s="73"/>
      <c r="JAW42" s="73"/>
      <c r="JAX42" s="73"/>
      <c r="JAY42" s="73"/>
      <c r="JAZ42" s="73"/>
      <c r="JBA42" s="73"/>
      <c r="JBB42" s="73"/>
      <c r="JBC42" s="73"/>
      <c r="JBD42" s="73"/>
      <c r="JBE42" s="73"/>
      <c r="JBF42" s="73"/>
      <c r="JBG42" s="73"/>
      <c r="JBH42" s="73"/>
      <c r="JBI42" s="73"/>
      <c r="JBJ42" s="73"/>
      <c r="JBK42" s="73"/>
      <c r="JBL42" s="73"/>
      <c r="JBM42" s="73"/>
      <c r="JBN42" s="73"/>
      <c r="JBO42" s="73"/>
      <c r="JBP42" s="73"/>
      <c r="JBQ42" s="73"/>
      <c r="JBR42" s="73"/>
      <c r="JBS42" s="73"/>
      <c r="JBT42" s="73"/>
      <c r="JBU42" s="73"/>
      <c r="JBV42" s="73"/>
      <c r="JBW42" s="73"/>
      <c r="JBX42" s="73"/>
      <c r="JBY42" s="73"/>
      <c r="JBZ42" s="73"/>
      <c r="JCA42" s="73"/>
      <c r="JCB42" s="73"/>
      <c r="JCC42" s="73"/>
      <c r="JCD42" s="73"/>
      <c r="JCE42" s="73"/>
      <c r="JCF42" s="73"/>
      <c r="JCG42" s="73"/>
      <c r="JCH42" s="73"/>
      <c r="JCI42" s="73"/>
      <c r="JCJ42" s="73"/>
      <c r="JCK42" s="73"/>
      <c r="JCL42" s="73"/>
      <c r="JCM42" s="73"/>
      <c r="JCN42" s="73"/>
      <c r="JCO42" s="73"/>
      <c r="JCP42" s="73"/>
      <c r="JCQ42" s="73"/>
      <c r="JCR42" s="73"/>
      <c r="JCS42" s="73"/>
      <c r="JCT42" s="73"/>
      <c r="JCU42" s="73"/>
      <c r="JCV42" s="73"/>
      <c r="JCW42" s="73"/>
      <c r="JCX42" s="73"/>
      <c r="JCY42" s="73"/>
      <c r="JCZ42" s="73"/>
      <c r="JDA42" s="73"/>
      <c r="JDB42" s="73"/>
      <c r="JDC42" s="73"/>
      <c r="JDD42" s="73"/>
      <c r="JDE42" s="73"/>
      <c r="JDF42" s="73"/>
      <c r="JDG42" s="73"/>
      <c r="JDH42" s="73"/>
      <c r="JDI42" s="73"/>
      <c r="JDJ42" s="73"/>
      <c r="JDK42" s="73"/>
      <c r="JDL42" s="73"/>
      <c r="JDM42" s="73"/>
      <c r="JDN42" s="73"/>
      <c r="JDO42" s="73"/>
      <c r="JDP42" s="73"/>
      <c r="JDQ42" s="73"/>
      <c r="JDR42" s="73"/>
      <c r="JDS42" s="73"/>
      <c r="JDT42" s="73"/>
      <c r="JDU42" s="73"/>
      <c r="JDV42" s="73"/>
      <c r="JDW42" s="73"/>
      <c r="JDX42" s="73"/>
      <c r="JDY42" s="73"/>
      <c r="JDZ42" s="73"/>
      <c r="JEA42" s="73"/>
      <c r="JEB42" s="73"/>
      <c r="JEC42" s="73"/>
      <c r="JED42" s="73"/>
      <c r="JEE42" s="73"/>
      <c r="JEF42" s="73"/>
      <c r="JEG42" s="73"/>
      <c r="JEH42" s="73"/>
      <c r="JEI42" s="73"/>
      <c r="JEJ42" s="73"/>
      <c r="JEK42" s="73"/>
      <c r="JEL42" s="73"/>
      <c r="JEM42" s="73"/>
      <c r="JEN42" s="73"/>
      <c r="JEO42" s="73"/>
      <c r="JEP42" s="73"/>
      <c r="JEQ42" s="73"/>
      <c r="JER42" s="73"/>
      <c r="JES42" s="73"/>
      <c r="JET42" s="73"/>
      <c r="JEU42" s="73"/>
      <c r="JEV42" s="73"/>
      <c r="JEW42" s="73"/>
      <c r="JEX42" s="73"/>
      <c r="JEY42" s="73"/>
      <c r="JEZ42" s="73"/>
      <c r="JFA42" s="73"/>
      <c r="JFB42" s="73"/>
      <c r="JFC42" s="73"/>
      <c r="JFD42" s="73"/>
      <c r="JFE42" s="73"/>
      <c r="JFF42" s="73"/>
      <c r="JFG42" s="73"/>
      <c r="JFH42" s="73"/>
      <c r="JFI42" s="73"/>
      <c r="JFJ42" s="73"/>
      <c r="JFK42" s="73"/>
      <c r="JFL42" s="73"/>
      <c r="JFM42" s="73"/>
      <c r="JFN42" s="73"/>
      <c r="JFO42" s="73"/>
      <c r="JFP42" s="73"/>
      <c r="JFQ42" s="73"/>
      <c r="JFR42" s="73"/>
      <c r="JFS42" s="73"/>
      <c r="JFT42" s="73"/>
      <c r="JFU42" s="73"/>
      <c r="JFV42" s="73"/>
      <c r="JFW42" s="73"/>
      <c r="JFX42" s="73"/>
      <c r="JFY42" s="73"/>
      <c r="JFZ42" s="73"/>
      <c r="JGA42" s="73"/>
      <c r="JGB42" s="73"/>
      <c r="JGC42" s="73"/>
      <c r="JGD42" s="73"/>
      <c r="JGE42" s="73"/>
      <c r="JGF42" s="73"/>
      <c r="JGG42" s="73"/>
      <c r="JGH42" s="73"/>
      <c r="JGI42" s="73"/>
      <c r="JGJ42" s="73"/>
      <c r="JGK42" s="73"/>
      <c r="JGL42" s="73"/>
      <c r="JGM42" s="73"/>
      <c r="JGN42" s="73"/>
      <c r="JGO42" s="73"/>
      <c r="JGP42" s="73"/>
      <c r="JGQ42" s="73"/>
      <c r="JGR42" s="73"/>
      <c r="JGS42" s="73"/>
      <c r="JGT42" s="73"/>
      <c r="JGU42" s="73"/>
      <c r="JGV42" s="73"/>
      <c r="JGW42" s="73"/>
      <c r="JGX42" s="73"/>
      <c r="JGY42" s="73"/>
      <c r="JGZ42" s="73"/>
      <c r="JHA42" s="73"/>
      <c r="JHB42" s="73"/>
      <c r="JHC42" s="73"/>
      <c r="JHD42" s="73"/>
      <c r="JHE42" s="73"/>
      <c r="JHF42" s="73"/>
      <c r="JHG42" s="73"/>
      <c r="JHH42" s="73"/>
      <c r="JHI42" s="73"/>
      <c r="JHJ42" s="73"/>
      <c r="JHK42" s="73"/>
      <c r="JHL42" s="73"/>
      <c r="JHM42" s="73"/>
      <c r="JHN42" s="73"/>
      <c r="JHO42" s="73"/>
      <c r="JHP42" s="73"/>
      <c r="JHQ42" s="73"/>
      <c r="JHR42" s="73"/>
      <c r="JHS42" s="73"/>
      <c r="JHT42" s="73"/>
      <c r="JHU42" s="73"/>
      <c r="JHV42" s="73"/>
      <c r="JHW42" s="73"/>
      <c r="JHX42" s="73"/>
      <c r="JHY42" s="73"/>
      <c r="JHZ42" s="73"/>
      <c r="JIA42" s="73"/>
      <c r="JIB42" s="73"/>
      <c r="JIC42" s="73"/>
      <c r="JID42" s="73"/>
      <c r="JIE42" s="73"/>
      <c r="JIF42" s="73"/>
      <c r="JIG42" s="73"/>
      <c r="JIH42" s="73"/>
      <c r="JII42" s="73"/>
      <c r="JIJ42" s="73"/>
      <c r="JIK42" s="73"/>
      <c r="JIL42" s="73"/>
      <c r="JIM42" s="73"/>
      <c r="JIN42" s="73"/>
      <c r="JIO42" s="73"/>
      <c r="JIP42" s="73"/>
      <c r="JIQ42" s="73"/>
      <c r="JIR42" s="73"/>
      <c r="JIS42" s="73"/>
      <c r="JIT42" s="73"/>
      <c r="JIU42" s="73"/>
      <c r="JIV42" s="73"/>
      <c r="JIW42" s="73"/>
      <c r="JIX42" s="73"/>
      <c r="JIY42" s="73"/>
      <c r="JIZ42" s="73"/>
      <c r="JJA42" s="73"/>
      <c r="JJB42" s="73"/>
      <c r="JJC42" s="73"/>
      <c r="JJD42" s="73"/>
      <c r="JJE42" s="73"/>
      <c r="JJF42" s="73"/>
      <c r="JJG42" s="73"/>
      <c r="JJH42" s="73"/>
      <c r="JJI42" s="73"/>
      <c r="JJJ42" s="73"/>
      <c r="JJK42" s="73"/>
      <c r="JJL42" s="73"/>
      <c r="JJM42" s="73"/>
      <c r="JJN42" s="73"/>
      <c r="JJO42" s="73"/>
      <c r="JJP42" s="73"/>
      <c r="JJQ42" s="73"/>
      <c r="JJR42" s="73"/>
      <c r="JJS42" s="73"/>
      <c r="JJT42" s="73"/>
      <c r="JJU42" s="73"/>
      <c r="JJV42" s="73"/>
      <c r="JJW42" s="73"/>
      <c r="JJX42" s="73"/>
      <c r="JJY42" s="73"/>
      <c r="JJZ42" s="73"/>
      <c r="JKA42" s="73"/>
      <c r="JKB42" s="73"/>
      <c r="JKC42" s="73"/>
      <c r="JKD42" s="73"/>
      <c r="JKE42" s="73"/>
      <c r="JKF42" s="73"/>
      <c r="JKG42" s="73"/>
      <c r="JKH42" s="73"/>
      <c r="JKI42" s="73"/>
      <c r="JKJ42" s="73"/>
      <c r="JKK42" s="73"/>
      <c r="JKL42" s="73"/>
      <c r="JKM42" s="73"/>
      <c r="JKN42" s="73"/>
      <c r="JKO42" s="73"/>
      <c r="JKP42" s="73"/>
      <c r="JKQ42" s="73"/>
      <c r="JKR42" s="73"/>
      <c r="JKS42" s="73"/>
      <c r="JKT42" s="73"/>
      <c r="JKU42" s="73"/>
      <c r="JKV42" s="73"/>
      <c r="JKW42" s="73"/>
      <c r="JKX42" s="73"/>
      <c r="JKY42" s="73"/>
      <c r="JKZ42" s="73"/>
      <c r="JLA42" s="73"/>
      <c r="JLB42" s="73"/>
      <c r="JLC42" s="73"/>
      <c r="JLD42" s="73"/>
      <c r="JLE42" s="73"/>
      <c r="JLF42" s="73"/>
      <c r="JLG42" s="73"/>
      <c r="JLH42" s="73"/>
      <c r="JLI42" s="73"/>
      <c r="JLJ42" s="73"/>
      <c r="JLK42" s="73"/>
      <c r="JLL42" s="73"/>
      <c r="JLM42" s="73"/>
      <c r="JLN42" s="73"/>
      <c r="JLO42" s="73"/>
      <c r="JLP42" s="73"/>
      <c r="JLQ42" s="73"/>
      <c r="JLR42" s="73"/>
      <c r="JLS42" s="73"/>
      <c r="JLT42" s="73"/>
      <c r="JLU42" s="73"/>
      <c r="JLV42" s="73"/>
      <c r="JLW42" s="73"/>
      <c r="JLX42" s="73"/>
      <c r="JLY42" s="73"/>
      <c r="JLZ42" s="73"/>
      <c r="JMA42" s="73"/>
      <c r="JMB42" s="73"/>
      <c r="JMC42" s="73"/>
      <c r="JMD42" s="73"/>
      <c r="JME42" s="73"/>
      <c r="JMF42" s="73"/>
      <c r="JMG42" s="73"/>
      <c r="JMH42" s="73"/>
      <c r="JMI42" s="73"/>
      <c r="JMJ42" s="73"/>
      <c r="JMK42" s="73"/>
      <c r="JML42" s="73"/>
      <c r="JMM42" s="73"/>
      <c r="JMN42" s="73"/>
      <c r="JMO42" s="73"/>
      <c r="JMP42" s="73"/>
      <c r="JMQ42" s="73"/>
      <c r="JMR42" s="73"/>
      <c r="JMS42" s="73"/>
      <c r="JMT42" s="73"/>
      <c r="JMU42" s="73"/>
      <c r="JMV42" s="73"/>
      <c r="JMW42" s="73"/>
      <c r="JMX42" s="73"/>
      <c r="JMY42" s="73"/>
      <c r="JMZ42" s="73"/>
      <c r="JNA42" s="73"/>
      <c r="JNB42" s="73"/>
      <c r="JNC42" s="73"/>
      <c r="JND42" s="73"/>
      <c r="JNE42" s="73"/>
      <c r="JNF42" s="73"/>
      <c r="JNG42" s="73"/>
      <c r="JNH42" s="73"/>
      <c r="JNI42" s="73"/>
      <c r="JNJ42" s="73"/>
      <c r="JNK42" s="73"/>
      <c r="JNL42" s="73"/>
      <c r="JNM42" s="73"/>
      <c r="JNN42" s="73"/>
      <c r="JNO42" s="73"/>
      <c r="JNP42" s="73"/>
      <c r="JNQ42" s="73"/>
      <c r="JNR42" s="73"/>
      <c r="JNS42" s="73"/>
      <c r="JNT42" s="73"/>
      <c r="JNU42" s="73"/>
      <c r="JNV42" s="73"/>
      <c r="JNW42" s="73"/>
      <c r="JNX42" s="73"/>
      <c r="JNY42" s="73"/>
      <c r="JNZ42" s="73"/>
      <c r="JOA42" s="73"/>
      <c r="JOB42" s="73"/>
      <c r="JOC42" s="73"/>
      <c r="JOD42" s="73"/>
      <c r="JOE42" s="73"/>
      <c r="JOF42" s="73"/>
      <c r="JOG42" s="73"/>
      <c r="JOH42" s="73"/>
      <c r="JOI42" s="73"/>
      <c r="JOJ42" s="73"/>
      <c r="JOK42" s="73"/>
      <c r="JOL42" s="73"/>
      <c r="JOM42" s="73"/>
      <c r="JON42" s="73"/>
      <c r="JOO42" s="73"/>
      <c r="JOP42" s="73"/>
      <c r="JOQ42" s="73"/>
      <c r="JOR42" s="73"/>
      <c r="JOS42" s="73"/>
      <c r="JOT42" s="73"/>
      <c r="JOU42" s="73"/>
      <c r="JOV42" s="73"/>
      <c r="JOW42" s="73"/>
      <c r="JOX42" s="73"/>
      <c r="JOY42" s="73"/>
      <c r="JOZ42" s="73"/>
      <c r="JPA42" s="73"/>
      <c r="JPB42" s="73"/>
      <c r="JPC42" s="73"/>
      <c r="JPD42" s="73"/>
      <c r="JPE42" s="73"/>
      <c r="JPF42" s="73"/>
      <c r="JPG42" s="73"/>
      <c r="JPH42" s="73"/>
      <c r="JPI42" s="73"/>
      <c r="JPJ42" s="73"/>
      <c r="JPK42" s="73"/>
      <c r="JPL42" s="73"/>
      <c r="JPM42" s="73"/>
      <c r="JPN42" s="73"/>
      <c r="JPO42" s="73"/>
      <c r="JPP42" s="73"/>
      <c r="JPQ42" s="73"/>
      <c r="JPR42" s="73"/>
      <c r="JPS42" s="73"/>
      <c r="JPT42" s="73"/>
      <c r="JPU42" s="73"/>
      <c r="JPV42" s="73"/>
      <c r="JPW42" s="73"/>
      <c r="JPX42" s="73"/>
      <c r="JPY42" s="73"/>
      <c r="JPZ42" s="73"/>
      <c r="JQA42" s="73"/>
      <c r="JQB42" s="73"/>
      <c r="JQC42" s="73"/>
      <c r="JQD42" s="73"/>
      <c r="JQE42" s="73"/>
      <c r="JQF42" s="73"/>
      <c r="JQG42" s="73"/>
      <c r="JQH42" s="73"/>
      <c r="JQI42" s="73"/>
      <c r="JQJ42" s="73"/>
      <c r="JQK42" s="73"/>
      <c r="JQL42" s="73"/>
      <c r="JQM42" s="73"/>
      <c r="JQN42" s="73"/>
      <c r="JQO42" s="73"/>
      <c r="JQP42" s="73"/>
      <c r="JQQ42" s="73"/>
      <c r="JQR42" s="73"/>
      <c r="JQS42" s="73"/>
      <c r="JQT42" s="73"/>
      <c r="JQU42" s="73"/>
      <c r="JQV42" s="73"/>
      <c r="JQW42" s="73"/>
      <c r="JQX42" s="73"/>
      <c r="JQY42" s="73"/>
      <c r="JQZ42" s="73"/>
      <c r="JRA42" s="73"/>
      <c r="JRB42" s="73"/>
      <c r="JRC42" s="73"/>
      <c r="JRD42" s="73"/>
      <c r="JRE42" s="73"/>
      <c r="JRF42" s="73"/>
      <c r="JRG42" s="73"/>
      <c r="JRH42" s="73"/>
      <c r="JRI42" s="73"/>
      <c r="JRJ42" s="73"/>
      <c r="JRK42" s="73"/>
      <c r="JRL42" s="73"/>
      <c r="JRM42" s="73"/>
      <c r="JRN42" s="73"/>
      <c r="JRO42" s="73"/>
      <c r="JRP42" s="73"/>
      <c r="JRQ42" s="73"/>
      <c r="JRR42" s="73"/>
      <c r="JRS42" s="73"/>
      <c r="JRT42" s="73"/>
      <c r="JRU42" s="73"/>
      <c r="JRV42" s="73"/>
      <c r="JRW42" s="73"/>
      <c r="JRX42" s="73"/>
      <c r="JRY42" s="73"/>
      <c r="JRZ42" s="73"/>
      <c r="JSA42" s="73"/>
      <c r="JSB42" s="73"/>
      <c r="JSC42" s="73"/>
      <c r="JSD42" s="73"/>
      <c r="JSE42" s="73"/>
      <c r="JSF42" s="73"/>
      <c r="JSG42" s="73"/>
      <c r="JSH42" s="73"/>
      <c r="JSI42" s="73"/>
      <c r="JSJ42" s="73"/>
      <c r="JSK42" s="73"/>
      <c r="JSL42" s="73"/>
      <c r="JSM42" s="73"/>
      <c r="JSN42" s="73"/>
      <c r="JSO42" s="73"/>
      <c r="JSP42" s="73"/>
      <c r="JSQ42" s="73"/>
      <c r="JSR42" s="73"/>
      <c r="JSS42" s="73"/>
      <c r="JST42" s="73"/>
      <c r="JSU42" s="73"/>
      <c r="JSV42" s="73"/>
      <c r="JSW42" s="73"/>
      <c r="JSX42" s="73"/>
      <c r="JSY42" s="73"/>
      <c r="JSZ42" s="73"/>
      <c r="JTA42" s="73"/>
      <c r="JTB42" s="73"/>
      <c r="JTC42" s="73"/>
      <c r="JTD42" s="73"/>
      <c r="JTE42" s="73"/>
      <c r="JTF42" s="73"/>
      <c r="JTG42" s="73"/>
      <c r="JTH42" s="73"/>
      <c r="JTI42" s="73"/>
      <c r="JTJ42" s="73"/>
      <c r="JTK42" s="73"/>
      <c r="JTL42" s="73"/>
      <c r="JTM42" s="73"/>
      <c r="JTN42" s="73"/>
      <c r="JTO42" s="73"/>
      <c r="JTP42" s="73"/>
      <c r="JTQ42" s="73"/>
      <c r="JTR42" s="73"/>
      <c r="JTS42" s="73"/>
      <c r="JTT42" s="73"/>
      <c r="JTU42" s="73"/>
      <c r="JTV42" s="73"/>
      <c r="JTW42" s="73"/>
      <c r="JTX42" s="73"/>
      <c r="JTY42" s="73"/>
      <c r="JTZ42" s="73"/>
      <c r="JUA42" s="73"/>
      <c r="JUB42" s="73"/>
      <c r="JUC42" s="73"/>
      <c r="JUD42" s="73"/>
      <c r="JUE42" s="73"/>
      <c r="JUF42" s="73"/>
      <c r="JUG42" s="73"/>
      <c r="JUH42" s="73"/>
      <c r="JUI42" s="73"/>
      <c r="JUJ42" s="73"/>
      <c r="JUK42" s="73"/>
      <c r="JUL42" s="73"/>
      <c r="JUM42" s="73"/>
      <c r="JUN42" s="73"/>
      <c r="JUO42" s="73"/>
      <c r="JUP42" s="73"/>
      <c r="JUQ42" s="73"/>
      <c r="JUR42" s="73"/>
      <c r="JUS42" s="73"/>
      <c r="JUT42" s="73"/>
      <c r="JUU42" s="73"/>
      <c r="JUV42" s="73"/>
      <c r="JUW42" s="73"/>
      <c r="JUX42" s="73"/>
      <c r="JUY42" s="73"/>
      <c r="JUZ42" s="73"/>
      <c r="JVA42" s="73"/>
      <c r="JVB42" s="73"/>
      <c r="JVC42" s="73"/>
      <c r="JVD42" s="73"/>
      <c r="JVE42" s="73"/>
      <c r="JVF42" s="73"/>
      <c r="JVG42" s="73"/>
      <c r="JVH42" s="73"/>
      <c r="JVI42" s="73"/>
      <c r="JVJ42" s="73"/>
      <c r="JVK42" s="73"/>
      <c r="JVL42" s="73"/>
      <c r="JVM42" s="73"/>
      <c r="JVN42" s="73"/>
      <c r="JVO42" s="73"/>
      <c r="JVP42" s="73"/>
      <c r="JVQ42" s="73"/>
      <c r="JVR42" s="73"/>
      <c r="JVS42" s="73"/>
      <c r="JVT42" s="73"/>
      <c r="JVU42" s="73"/>
      <c r="JVV42" s="73"/>
      <c r="JVW42" s="73"/>
      <c r="JVX42" s="73"/>
      <c r="JVY42" s="73"/>
      <c r="JVZ42" s="73"/>
      <c r="JWA42" s="73"/>
      <c r="JWB42" s="73"/>
      <c r="JWC42" s="73"/>
      <c r="JWD42" s="73"/>
      <c r="JWE42" s="73"/>
      <c r="JWF42" s="73"/>
      <c r="JWG42" s="73"/>
      <c r="JWH42" s="73"/>
      <c r="JWI42" s="73"/>
      <c r="JWJ42" s="73"/>
      <c r="JWK42" s="73"/>
      <c r="JWL42" s="73"/>
      <c r="JWM42" s="73"/>
      <c r="JWN42" s="73"/>
      <c r="JWO42" s="73"/>
      <c r="JWP42" s="73"/>
      <c r="JWQ42" s="73"/>
      <c r="JWR42" s="73"/>
      <c r="JWS42" s="73"/>
      <c r="JWT42" s="73"/>
      <c r="JWU42" s="73"/>
      <c r="JWV42" s="73"/>
      <c r="JWW42" s="73"/>
      <c r="JWX42" s="73"/>
      <c r="JWY42" s="73"/>
      <c r="JWZ42" s="73"/>
      <c r="JXA42" s="73"/>
      <c r="JXB42" s="73"/>
      <c r="JXC42" s="73"/>
      <c r="JXD42" s="73"/>
      <c r="JXE42" s="73"/>
      <c r="JXF42" s="73"/>
      <c r="JXG42" s="73"/>
      <c r="JXH42" s="73"/>
      <c r="JXI42" s="73"/>
      <c r="JXJ42" s="73"/>
      <c r="JXK42" s="73"/>
      <c r="JXL42" s="73"/>
      <c r="JXM42" s="73"/>
      <c r="JXN42" s="73"/>
      <c r="JXO42" s="73"/>
      <c r="JXP42" s="73"/>
      <c r="JXQ42" s="73"/>
      <c r="JXR42" s="73"/>
      <c r="JXS42" s="73"/>
      <c r="JXT42" s="73"/>
      <c r="JXU42" s="73"/>
      <c r="JXV42" s="73"/>
      <c r="JXW42" s="73"/>
      <c r="JXX42" s="73"/>
      <c r="JXY42" s="73"/>
      <c r="JXZ42" s="73"/>
      <c r="JYA42" s="73"/>
      <c r="JYB42" s="73"/>
      <c r="JYC42" s="73"/>
      <c r="JYD42" s="73"/>
      <c r="JYE42" s="73"/>
      <c r="JYF42" s="73"/>
      <c r="JYG42" s="73"/>
      <c r="JYH42" s="73"/>
      <c r="JYI42" s="73"/>
      <c r="JYJ42" s="73"/>
      <c r="JYK42" s="73"/>
      <c r="JYL42" s="73"/>
      <c r="JYM42" s="73"/>
      <c r="JYN42" s="73"/>
      <c r="JYO42" s="73"/>
      <c r="JYP42" s="73"/>
      <c r="JYQ42" s="73"/>
      <c r="JYR42" s="73"/>
      <c r="JYS42" s="73"/>
      <c r="JYT42" s="73"/>
      <c r="JYU42" s="73"/>
      <c r="JYV42" s="73"/>
      <c r="JYW42" s="73"/>
      <c r="JYX42" s="73"/>
      <c r="JYY42" s="73"/>
      <c r="JYZ42" s="73"/>
      <c r="JZA42" s="73"/>
      <c r="JZB42" s="73"/>
      <c r="JZC42" s="73"/>
      <c r="JZD42" s="73"/>
      <c r="JZE42" s="73"/>
      <c r="JZF42" s="73"/>
      <c r="JZG42" s="73"/>
      <c r="JZH42" s="73"/>
      <c r="JZI42" s="73"/>
      <c r="JZJ42" s="73"/>
      <c r="JZK42" s="73"/>
      <c r="JZL42" s="73"/>
      <c r="JZM42" s="73"/>
      <c r="JZN42" s="73"/>
      <c r="JZO42" s="73"/>
      <c r="JZP42" s="73"/>
      <c r="JZQ42" s="73"/>
      <c r="JZR42" s="73"/>
      <c r="JZS42" s="73"/>
      <c r="JZT42" s="73"/>
      <c r="JZU42" s="73"/>
      <c r="JZV42" s="73"/>
      <c r="JZW42" s="73"/>
      <c r="JZX42" s="73"/>
      <c r="JZY42" s="73"/>
      <c r="JZZ42" s="73"/>
      <c r="KAA42" s="73"/>
      <c r="KAB42" s="73"/>
      <c r="KAC42" s="73"/>
      <c r="KAD42" s="73"/>
      <c r="KAE42" s="73"/>
      <c r="KAF42" s="73"/>
      <c r="KAG42" s="73"/>
      <c r="KAH42" s="73"/>
      <c r="KAI42" s="73"/>
      <c r="KAJ42" s="73"/>
      <c r="KAK42" s="73"/>
      <c r="KAL42" s="73"/>
      <c r="KAM42" s="73"/>
      <c r="KAN42" s="73"/>
      <c r="KAO42" s="73"/>
      <c r="KAP42" s="73"/>
      <c r="KAQ42" s="73"/>
      <c r="KAR42" s="73"/>
      <c r="KAS42" s="73"/>
      <c r="KAT42" s="73"/>
      <c r="KAU42" s="73"/>
      <c r="KAV42" s="73"/>
      <c r="KAW42" s="73"/>
      <c r="KAX42" s="73"/>
      <c r="KAY42" s="73"/>
      <c r="KAZ42" s="73"/>
      <c r="KBA42" s="73"/>
      <c r="KBB42" s="73"/>
      <c r="KBC42" s="73"/>
      <c r="KBD42" s="73"/>
      <c r="KBE42" s="73"/>
      <c r="KBF42" s="73"/>
      <c r="KBG42" s="73"/>
      <c r="KBH42" s="73"/>
      <c r="KBI42" s="73"/>
      <c r="KBJ42" s="73"/>
      <c r="KBK42" s="73"/>
      <c r="KBL42" s="73"/>
      <c r="KBM42" s="73"/>
      <c r="KBN42" s="73"/>
      <c r="KBO42" s="73"/>
      <c r="KBP42" s="73"/>
      <c r="KBQ42" s="73"/>
      <c r="KBR42" s="73"/>
      <c r="KBS42" s="73"/>
      <c r="KBT42" s="73"/>
      <c r="KBU42" s="73"/>
      <c r="KBV42" s="73"/>
      <c r="KBW42" s="73"/>
      <c r="KBX42" s="73"/>
      <c r="KBY42" s="73"/>
      <c r="KBZ42" s="73"/>
      <c r="KCA42" s="73"/>
      <c r="KCB42" s="73"/>
      <c r="KCC42" s="73"/>
      <c r="KCD42" s="73"/>
      <c r="KCE42" s="73"/>
      <c r="KCF42" s="73"/>
      <c r="KCG42" s="73"/>
      <c r="KCH42" s="73"/>
      <c r="KCI42" s="73"/>
      <c r="KCJ42" s="73"/>
      <c r="KCK42" s="73"/>
      <c r="KCL42" s="73"/>
      <c r="KCM42" s="73"/>
      <c r="KCN42" s="73"/>
      <c r="KCO42" s="73"/>
      <c r="KCP42" s="73"/>
      <c r="KCQ42" s="73"/>
      <c r="KCR42" s="73"/>
      <c r="KCS42" s="73"/>
      <c r="KCT42" s="73"/>
      <c r="KCU42" s="73"/>
      <c r="KCV42" s="73"/>
      <c r="KCW42" s="73"/>
      <c r="KCX42" s="73"/>
      <c r="KCY42" s="73"/>
      <c r="KCZ42" s="73"/>
      <c r="KDA42" s="73"/>
      <c r="KDB42" s="73"/>
      <c r="KDC42" s="73"/>
      <c r="KDD42" s="73"/>
      <c r="KDE42" s="73"/>
      <c r="KDF42" s="73"/>
      <c r="KDG42" s="73"/>
      <c r="KDH42" s="73"/>
      <c r="KDI42" s="73"/>
      <c r="KDJ42" s="73"/>
      <c r="KDK42" s="73"/>
      <c r="KDL42" s="73"/>
      <c r="KDM42" s="73"/>
      <c r="KDN42" s="73"/>
      <c r="KDO42" s="73"/>
      <c r="KDP42" s="73"/>
      <c r="KDQ42" s="73"/>
      <c r="KDR42" s="73"/>
      <c r="KDS42" s="73"/>
      <c r="KDT42" s="73"/>
      <c r="KDU42" s="73"/>
      <c r="KDV42" s="73"/>
      <c r="KDW42" s="73"/>
      <c r="KDX42" s="73"/>
      <c r="KDY42" s="73"/>
      <c r="KDZ42" s="73"/>
      <c r="KEA42" s="73"/>
      <c r="KEB42" s="73"/>
      <c r="KEC42" s="73"/>
      <c r="KED42" s="73"/>
      <c r="KEE42" s="73"/>
      <c r="KEF42" s="73"/>
      <c r="KEG42" s="73"/>
      <c r="KEH42" s="73"/>
      <c r="KEI42" s="73"/>
      <c r="KEJ42" s="73"/>
      <c r="KEK42" s="73"/>
      <c r="KEL42" s="73"/>
      <c r="KEM42" s="73"/>
      <c r="KEN42" s="73"/>
      <c r="KEO42" s="73"/>
      <c r="KEP42" s="73"/>
      <c r="KEQ42" s="73"/>
      <c r="KER42" s="73"/>
      <c r="KES42" s="73"/>
      <c r="KET42" s="73"/>
      <c r="KEU42" s="73"/>
      <c r="KEV42" s="73"/>
      <c r="KEW42" s="73"/>
      <c r="KEX42" s="73"/>
      <c r="KEY42" s="73"/>
      <c r="KEZ42" s="73"/>
      <c r="KFA42" s="73"/>
      <c r="KFB42" s="73"/>
      <c r="KFC42" s="73"/>
      <c r="KFD42" s="73"/>
      <c r="KFE42" s="73"/>
      <c r="KFF42" s="73"/>
      <c r="KFG42" s="73"/>
      <c r="KFH42" s="73"/>
      <c r="KFI42" s="73"/>
      <c r="KFJ42" s="73"/>
      <c r="KFK42" s="73"/>
      <c r="KFL42" s="73"/>
      <c r="KFM42" s="73"/>
      <c r="KFN42" s="73"/>
      <c r="KFO42" s="73"/>
      <c r="KFP42" s="73"/>
      <c r="KFQ42" s="73"/>
      <c r="KFR42" s="73"/>
      <c r="KFS42" s="73"/>
      <c r="KFT42" s="73"/>
      <c r="KFU42" s="73"/>
      <c r="KFV42" s="73"/>
      <c r="KFW42" s="73"/>
      <c r="KFX42" s="73"/>
      <c r="KFY42" s="73"/>
      <c r="KFZ42" s="73"/>
      <c r="KGA42" s="73"/>
      <c r="KGB42" s="73"/>
      <c r="KGC42" s="73"/>
      <c r="KGD42" s="73"/>
      <c r="KGE42" s="73"/>
      <c r="KGF42" s="73"/>
      <c r="KGG42" s="73"/>
      <c r="KGH42" s="73"/>
      <c r="KGI42" s="73"/>
      <c r="KGJ42" s="73"/>
      <c r="KGK42" s="73"/>
      <c r="KGL42" s="73"/>
      <c r="KGM42" s="73"/>
      <c r="KGN42" s="73"/>
      <c r="KGO42" s="73"/>
      <c r="KGP42" s="73"/>
      <c r="KGQ42" s="73"/>
      <c r="KGR42" s="73"/>
      <c r="KGS42" s="73"/>
      <c r="KGT42" s="73"/>
      <c r="KGU42" s="73"/>
      <c r="KGV42" s="73"/>
      <c r="KGW42" s="73"/>
      <c r="KGX42" s="73"/>
      <c r="KGY42" s="73"/>
      <c r="KGZ42" s="73"/>
      <c r="KHA42" s="73"/>
      <c r="KHB42" s="73"/>
      <c r="KHC42" s="73"/>
      <c r="KHD42" s="73"/>
      <c r="KHE42" s="73"/>
      <c r="KHF42" s="73"/>
      <c r="KHG42" s="73"/>
      <c r="KHH42" s="73"/>
      <c r="KHI42" s="73"/>
      <c r="KHJ42" s="73"/>
      <c r="KHK42" s="73"/>
      <c r="KHL42" s="73"/>
      <c r="KHM42" s="73"/>
      <c r="KHN42" s="73"/>
      <c r="KHO42" s="73"/>
      <c r="KHP42" s="73"/>
      <c r="KHQ42" s="73"/>
      <c r="KHR42" s="73"/>
      <c r="KHS42" s="73"/>
      <c r="KHT42" s="73"/>
      <c r="KHU42" s="73"/>
      <c r="KHV42" s="73"/>
      <c r="KHW42" s="73"/>
      <c r="KHX42" s="73"/>
      <c r="KHY42" s="73"/>
      <c r="KHZ42" s="73"/>
      <c r="KIA42" s="73"/>
      <c r="KIB42" s="73"/>
      <c r="KIC42" s="73"/>
      <c r="KID42" s="73"/>
      <c r="KIE42" s="73"/>
      <c r="KIF42" s="73"/>
      <c r="KIG42" s="73"/>
      <c r="KIH42" s="73"/>
      <c r="KII42" s="73"/>
      <c r="KIJ42" s="73"/>
      <c r="KIK42" s="73"/>
      <c r="KIL42" s="73"/>
      <c r="KIM42" s="73"/>
      <c r="KIN42" s="73"/>
      <c r="KIO42" s="73"/>
      <c r="KIP42" s="73"/>
      <c r="KIQ42" s="73"/>
      <c r="KIR42" s="73"/>
      <c r="KIS42" s="73"/>
      <c r="KIT42" s="73"/>
      <c r="KIU42" s="73"/>
      <c r="KIV42" s="73"/>
      <c r="KIW42" s="73"/>
      <c r="KIX42" s="73"/>
      <c r="KIY42" s="73"/>
      <c r="KIZ42" s="73"/>
      <c r="KJA42" s="73"/>
      <c r="KJB42" s="73"/>
      <c r="KJC42" s="73"/>
      <c r="KJD42" s="73"/>
      <c r="KJE42" s="73"/>
      <c r="KJF42" s="73"/>
      <c r="KJG42" s="73"/>
      <c r="KJH42" s="73"/>
      <c r="KJI42" s="73"/>
      <c r="KJJ42" s="73"/>
      <c r="KJK42" s="73"/>
      <c r="KJL42" s="73"/>
      <c r="KJM42" s="73"/>
      <c r="KJN42" s="73"/>
      <c r="KJO42" s="73"/>
      <c r="KJP42" s="73"/>
      <c r="KJQ42" s="73"/>
      <c r="KJR42" s="73"/>
      <c r="KJS42" s="73"/>
      <c r="KJT42" s="73"/>
      <c r="KJU42" s="73"/>
      <c r="KJV42" s="73"/>
      <c r="KJW42" s="73"/>
      <c r="KJX42" s="73"/>
      <c r="KJY42" s="73"/>
      <c r="KJZ42" s="73"/>
      <c r="KKA42" s="73"/>
      <c r="KKB42" s="73"/>
      <c r="KKC42" s="73"/>
      <c r="KKD42" s="73"/>
      <c r="KKE42" s="73"/>
      <c r="KKF42" s="73"/>
      <c r="KKG42" s="73"/>
      <c r="KKH42" s="73"/>
      <c r="KKI42" s="73"/>
      <c r="KKJ42" s="73"/>
      <c r="KKK42" s="73"/>
      <c r="KKL42" s="73"/>
      <c r="KKM42" s="73"/>
      <c r="KKN42" s="73"/>
      <c r="KKO42" s="73"/>
      <c r="KKP42" s="73"/>
      <c r="KKQ42" s="73"/>
      <c r="KKR42" s="73"/>
      <c r="KKS42" s="73"/>
      <c r="KKT42" s="73"/>
      <c r="KKU42" s="73"/>
      <c r="KKV42" s="73"/>
      <c r="KKW42" s="73"/>
      <c r="KKX42" s="73"/>
      <c r="KKY42" s="73"/>
      <c r="KKZ42" s="73"/>
      <c r="KLA42" s="73"/>
      <c r="KLB42" s="73"/>
      <c r="KLC42" s="73"/>
      <c r="KLD42" s="73"/>
      <c r="KLE42" s="73"/>
      <c r="KLF42" s="73"/>
      <c r="KLG42" s="73"/>
      <c r="KLH42" s="73"/>
      <c r="KLI42" s="73"/>
      <c r="KLJ42" s="73"/>
      <c r="KLK42" s="73"/>
      <c r="KLL42" s="73"/>
      <c r="KLM42" s="73"/>
      <c r="KLN42" s="73"/>
      <c r="KLO42" s="73"/>
      <c r="KLP42" s="73"/>
      <c r="KLQ42" s="73"/>
      <c r="KLR42" s="73"/>
      <c r="KLS42" s="73"/>
      <c r="KLT42" s="73"/>
      <c r="KLU42" s="73"/>
      <c r="KLV42" s="73"/>
      <c r="KLW42" s="73"/>
      <c r="KLX42" s="73"/>
      <c r="KLY42" s="73"/>
      <c r="KLZ42" s="73"/>
      <c r="KMA42" s="73"/>
      <c r="KMB42" s="73"/>
      <c r="KMC42" s="73"/>
      <c r="KMD42" s="73"/>
      <c r="KME42" s="73"/>
      <c r="KMF42" s="73"/>
      <c r="KMG42" s="73"/>
      <c r="KMH42" s="73"/>
      <c r="KMI42" s="73"/>
      <c r="KMJ42" s="73"/>
      <c r="KMK42" s="73"/>
      <c r="KML42" s="73"/>
      <c r="KMM42" s="73"/>
      <c r="KMN42" s="73"/>
      <c r="KMO42" s="73"/>
      <c r="KMP42" s="73"/>
      <c r="KMQ42" s="73"/>
      <c r="KMR42" s="73"/>
      <c r="KMS42" s="73"/>
      <c r="KMT42" s="73"/>
      <c r="KMU42" s="73"/>
      <c r="KMV42" s="73"/>
      <c r="KMW42" s="73"/>
      <c r="KMX42" s="73"/>
      <c r="KMY42" s="73"/>
      <c r="KMZ42" s="73"/>
      <c r="KNA42" s="73"/>
      <c r="KNB42" s="73"/>
      <c r="KNC42" s="73"/>
      <c r="KND42" s="73"/>
      <c r="KNE42" s="73"/>
      <c r="KNF42" s="73"/>
      <c r="KNG42" s="73"/>
      <c r="KNH42" s="73"/>
      <c r="KNI42" s="73"/>
      <c r="KNJ42" s="73"/>
      <c r="KNK42" s="73"/>
      <c r="KNL42" s="73"/>
      <c r="KNM42" s="73"/>
      <c r="KNN42" s="73"/>
      <c r="KNO42" s="73"/>
      <c r="KNP42" s="73"/>
      <c r="KNQ42" s="73"/>
      <c r="KNR42" s="73"/>
      <c r="KNS42" s="73"/>
      <c r="KNT42" s="73"/>
      <c r="KNU42" s="73"/>
      <c r="KNV42" s="73"/>
      <c r="KNW42" s="73"/>
      <c r="KNX42" s="73"/>
      <c r="KNY42" s="73"/>
      <c r="KNZ42" s="73"/>
      <c r="KOA42" s="73"/>
      <c r="KOB42" s="73"/>
      <c r="KOC42" s="73"/>
      <c r="KOD42" s="73"/>
      <c r="KOE42" s="73"/>
      <c r="KOF42" s="73"/>
      <c r="KOG42" s="73"/>
      <c r="KOH42" s="73"/>
      <c r="KOI42" s="73"/>
      <c r="KOJ42" s="73"/>
      <c r="KOK42" s="73"/>
      <c r="KOL42" s="73"/>
      <c r="KOM42" s="73"/>
      <c r="KON42" s="73"/>
      <c r="KOO42" s="73"/>
      <c r="KOP42" s="73"/>
      <c r="KOQ42" s="73"/>
      <c r="KOR42" s="73"/>
      <c r="KOS42" s="73"/>
      <c r="KOT42" s="73"/>
      <c r="KOU42" s="73"/>
      <c r="KOV42" s="73"/>
      <c r="KOW42" s="73"/>
      <c r="KOX42" s="73"/>
      <c r="KOY42" s="73"/>
      <c r="KOZ42" s="73"/>
      <c r="KPA42" s="73"/>
      <c r="KPB42" s="73"/>
      <c r="KPC42" s="73"/>
      <c r="KPD42" s="73"/>
      <c r="KPE42" s="73"/>
      <c r="KPF42" s="73"/>
      <c r="KPG42" s="73"/>
      <c r="KPH42" s="73"/>
      <c r="KPI42" s="73"/>
      <c r="KPJ42" s="73"/>
      <c r="KPK42" s="73"/>
      <c r="KPL42" s="73"/>
      <c r="KPM42" s="73"/>
      <c r="KPN42" s="73"/>
      <c r="KPO42" s="73"/>
      <c r="KPP42" s="73"/>
      <c r="KPQ42" s="73"/>
      <c r="KPR42" s="73"/>
      <c r="KPS42" s="73"/>
      <c r="KPT42" s="73"/>
      <c r="KPU42" s="73"/>
      <c r="KPV42" s="73"/>
      <c r="KPW42" s="73"/>
      <c r="KPX42" s="73"/>
      <c r="KPY42" s="73"/>
      <c r="KPZ42" s="73"/>
      <c r="KQA42" s="73"/>
      <c r="KQB42" s="73"/>
      <c r="KQC42" s="73"/>
      <c r="KQD42" s="73"/>
      <c r="KQE42" s="73"/>
      <c r="KQF42" s="73"/>
      <c r="KQG42" s="73"/>
      <c r="KQH42" s="73"/>
      <c r="KQI42" s="73"/>
      <c r="KQJ42" s="73"/>
      <c r="KQK42" s="73"/>
      <c r="KQL42" s="73"/>
      <c r="KQM42" s="73"/>
      <c r="KQN42" s="73"/>
      <c r="KQO42" s="73"/>
      <c r="KQP42" s="73"/>
      <c r="KQQ42" s="73"/>
      <c r="KQR42" s="73"/>
      <c r="KQS42" s="73"/>
      <c r="KQT42" s="73"/>
      <c r="KQU42" s="73"/>
      <c r="KQV42" s="73"/>
      <c r="KQW42" s="73"/>
      <c r="KQX42" s="73"/>
      <c r="KQY42" s="73"/>
      <c r="KQZ42" s="73"/>
      <c r="KRA42" s="73"/>
      <c r="KRB42" s="73"/>
      <c r="KRC42" s="73"/>
      <c r="KRD42" s="73"/>
      <c r="KRE42" s="73"/>
      <c r="KRF42" s="73"/>
      <c r="KRG42" s="73"/>
      <c r="KRH42" s="73"/>
      <c r="KRI42" s="73"/>
      <c r="KRJ42" s="73"/>
      <c r="KRK42" s="73"/>
      <c r="KRL42" s="73"/>
      <c r="KRM42" s="73"/>
      <c r="KRN42" s="73"/>
      <c r="KRO42" s="73"/>
      <c r="KRP42" s="73"/>
      <c r="KRQ42" s="73"/>
      <c r="KRR42" s="73"/>
      <c r="KRS42" s="73"/>
      <c r="KRT42" s="73"/>
      <c r="KRU42" s="73"/>
      <c r="KRV42" s="73"/>
      <c r="KRW42" s="73"/>
      <c r="KRX42" s="73"/>
      <c r="KRY42" s="73"/>
      <c r="KRZ42" s="73"/>
      <c r="KSA42" s="73"/>
      <c r="KSB42" s="73"/>
      <c r="KSC42" s="73"/>
      <c r="KSD42" s="73"/>
      <c r="KSE42" s="73"/>
      <c r="KSF42" s="73"/>
      <c r="KSG42" s="73"/>
      <c r="KSH42" s="73"/>
      <c r="KSI42" s="73"/>
      <c r="KSJ42" s="73"/>
      <c r="KSK42" s="73"/>
      <c r="KSL42" s="73"/>
      <c r="KSM42" s="73"/>
      <c r="KSN42" s="73"/>
      <c r="KSO42" s="73"/>
      <c r="KSP42" s="73"/>
      <c r="KSQ42" s="73"/>
      <c r="KSR42" s="73"/>
      <c r="KSS42" s="73"/>
      <c r="KST42" s="73"/>
      <c r="KSU42" s="73"/>
      <c r="KSV42" s="73"/>
      <c r="KSW42" s="73"/>
      <c r="KSX42" s="73"/>
      <c r="KSY42" s="73"/>
      <c r="KSZ42" s="73"/>
      <c r="KTA42" s="73"/>
      <c r="KTB42" s="73"/>
      <c r="KTC42" s="73"/>
      <c r="KTD42" s="73"/>
      <c r="KTE42" s="73"/>
      <c r="KTF42" s="73"/>
      <c r="KTG42" s="73"/>
      <c r="KTH42" s="73"/>
      <c r="KTI42" s="73"/>
      <c r="KTJ42" s="73"/>
      <c r="KTK42" s="73"/>
      <c r="KTL42" s="73"/>
      <c r="KTM42" s="73"/>
      <c r="KTN42" s="73"/>
      <c r="KTO42" s="73"/>
      <c r="KTP42" s="73"/>
      <c r="KTQ42" s="73"/>
      <c r="KTR42" s="73"/>
      <c r="KTS42" s="73"/>
      <c r="KTT42" s="73"/>
      <c r="KTU42" s="73"/>
      <c r="KTV42" s="73"/>
      <c r="KTW42" s="73"/>
      <c r="KTX42" s="73"/>
      <c r="KTY42" s="73"/>
      <c r="KTZ42" s="73"/>
      <c r="KUA42" s="73"/>
      <c r="KUB42" s="73"/>
      <c r="KUC42" s="73"/>
      <c r="KUD42" s="73"/>
      <c r="KUE42" s="73"/>
      <c r="KUF42" s="73"/>
      <c r="KUG42" s="73"/>
      <c r="KUH42" s="73"/>
      <c r="KUI42" s="73"/>
      <c r="KUJ42" s="73"/>
      <c r="KUK42" s="73"/>
      <c r="KUL42" s="73"/>
      <c r="KUM42" s="73"/>
      <c r="KUN42" s="73"/>
      <c r="KUO42" s="73"/>
      <c r="KUP42" s="73"/>
      <c r="KUQ42" s="73"/>
      <c r="KUR42" s="73"/>
      <c r="KUS42" s="73"/>
      <c r="KUT42" s="73"/>
      <c r="KUU42" s="73"/>
      <c r="KUV42" s="73"/>
      <c r="KUW42" s="73"/>
      <c r="KUX42" s="73"/>
      <c r="KUY42" s="73"/>
      <c r="KUZ42" s="73"/>
      <c r="KVA42" s="73"/>
      <c r="KVB42" s="73"/>
      <c r="KVC42" s="73"/>
      <c r="KVD42" s="73"/>
      <c r="KVE42" s="73"/>
      <c r="KVF42" s="73"/>
      <c r="KVG42" s="73"/>
      <c r="KVH42" s="73"/>
      <c r="KVI42" s="73"/>
      <c r="KVJ42" s="73"/>
      <c r="KVK42" s="73"/>
      <c r="KVL42" s="73"/>
      <c r="KVM42" s="73"/>
      <c r="KVN42" s="73"/>
      <c r="KVO42" s="73"/>
      <c r="KVP42" s="73"/>
      <c r="KVQ42" s="73"/>
      <c r="KVR42" s="73"/>
      <c r="KVS42" s="73"/>
      <c r="KVT42" s="73"/>
      <c r="KVU42" s="73"/>
      <c r="KVV42" s="73"/>
      <c r="KVW42" s="73"/>
      <c r="KVX42" s="73"/>
      <c r="KVY42" s="73"/>
      <c r="KVZ42" s="73"/>
      <c r="KWA42" s="73"/>
      <c r="KWB42" s="73"/>
      <c r="KWC42" s="73"/>
      <c r="KWD42" s="73"/>
      <c r="KWE42" s="73"/>
      <c r="KWF42" s="73"/>
      <c r="KWG42" s="73"/>
      <c r="KWH42" s="73"/>
      <c r="KWI42" s="73"/>
      <c r="KWJ42" s="73"/>
      <c r="KWK42" s="73"/>
      <c r="KWL42" s="73"/>
      <c r="KWM42" s="73"/>
      <c r="KWN42" s="73"/>
      <c r="KWO42" s="73"/>
      <c r="KWP42" s="73"/>
      <c r="KWQ42" s="73"/>
      <c r="KWR42" s="73"/>
      <c r="KWS42" s="73"/>
      <c r="KWT42" s="73"/>
      <c r="KWU42" s="73"/>
      <c r="KWV42" s="73"/>
      <c r="KWW42" s="73"/>
      <c r="KWX42" s="73"/>
      <c r="KWY42" s="73"/>
      <c r="KWZ42" s="73"/>
      <c r="KXA42" s="73"/>
      <c r="KXB42" s="73"/>
      <c r="KXC42" s="73"/>
      <c r="KXD42" s="73"/>
      <c r="KXE42" s="73"/>
      <c r="KXF42" s="73"/>
      <c r="KXG42" s="73"/>
      <c r="KXH42" s="73"/>
      <c r="KXI42" s="73"/>
      <c r="KXJ42" s="73"/>
      <c r="KXK42" s="73"/>
      <c r="KXL42" s="73"/>
      <c r="KXM42" s="73"/>
      <c r="KXN42" s="73"/>
      <c r="KXO42" s="73"/>
      <c r="KXP42" s="73"/>
      <c r="KXQ42" s="73"/>
      <c r="KXR42" s="73"/>
      <c r="KXS42" s="73"/>
      <c r="KXT42" s="73"/>
      <c r="KXU42" s="73"/>
      <c r="KXV42" s="73"/>
      <c r="KXW42" s="73"/>
      <c r="KXX42" s="73"/>
      <c r="KXY42" s="73"/>
      <c r="KXZ42" s="73"/>
      <c r="KYA42" s="73"/>
      <c r="KYB42" s="73"/>
      <c r="KYC42" s="73"/>
      <c r="KYD42" s="73"/>
      <c r="KYE42" s="73"/>
      <c r="KYF42" s="73"/>
      <c r="KYG42" s="73"/>
      <c r="KYH42" s="73"/>
      <c r="KYI42" s="73"/>
      <c r="KYJ42" s="73"/>
      <c r="KYK42" s="73"/>
      <c r="KYL42" s="73"/>
      <c r="KYM42" s="73"/>
      <c r="KYN42" s="73"/>
      <c r="KYO42" s="73"/>
      <c r="KYP42" s="73"/>
      <c r="KYQ42" s="73"/>
      <c r="KYR42" s="73"/>
      <c r="KYS42" s="73"/>
      <c r="KYT42" s="73"/>
      <c r="KYU42" s="73"/>
      <c r="KYV42" s="73"/>
      <c r="KYW42" s="73"/>
      <c r="KYX42" s="73"/>
      <c r="KYY42" s="73"/>
      <c r="KYZ42" s="73"/>
      <c r="KZA42" s="73"/>
      <c r="KZB42" s="73"/>
      <c r="KZC42" s="73"/>
      <c r="KZD42" s="73"/>
      <c r="KZE42" s="73"/>
      <c r="KZF42" s="73"/>
      <c r="KZG42" s="73"/>
      <c r="KZH42" s="73"/>
      <c r="KZI42" s="73"/>
      <c r="KZJ42" s="73"/>
      <c r="KZK42" s="73"/>
      <c r="KZL42" s="73"/>
      <c r="KZM42" s="73"/>
      <c r="KZN42" s="73"/>
      <c r="KZO42" s="73"/>
      <c r="KZP42" s="73"/>
      <c r="KZQ42" s="73"/>
      <c r="KZR42" s="73"/>
      <c r="KZS42" s="73"/>
      <c r="KZT42" s="73"/>
      <c r="KZU42" s="73"/>
      <c r="KZV42" s="73"/>
      <c r="KZW42" s="73"/>
      <c r="KZX42" s="73"/>
      <c r="KZY42" s="73"/>
      <c r="KZZ42" s="73"/>
      <c r="LAA42" s="73"/>
      <c r="LAB42" s="73"/>
      <c r="LAC42" s="73"/>
      <c r="LAD42" s="73"/>
      <c r="LAE42" s="73"/>
      <c r="LAF42" s="73"/>
      <c r="LAG42" s="73"/>
      <c r="LAH42" s="73"/>
      <c r="LAI42" s="73"/>
      <c r="LAJ42" s="73"/>
      <c r="LAK42" s="73"/>
      <c r="LAL42" s="73"/>
      <c r="LAM42" s="73"/>
      <c r="LAN42" s="73"/>
      <c r="LAO42" s="73"/>
      <c r="LAP42" s="73"/>
      <c r="LAQ42" s="73"/>
      <c r="LAR42" s="73"/>
      <c r="LAS42" s="73"/>
      <c r="LAT42" s="73"/>
      <c r="LAU42" s="73"/>
      <c r="LAV42" s="73"/>
      <c r="LAW42" s="73"/>
      <c r="LAX42" s="73"/>
      <c r="LAY42" s="73"/>
      <c r="LAZ42" s="73"/>
      <c r="LBA42" s="73"/>
      <c r="LBB42" s="73"/>
      <c r="LBC42" s="73"/>
      <c r="LBD42" s="73"/>
      <c r="LBE42" s="73"/>
      <c r="LBF42" s="73"/>
      <c r="LBG42" s="73"/>
      <c r="LBH42" s="73"/>
      <c r="LBI42" s="73"/>
      <c r="LBJ42" s="73"/>
      <c r="LBK42" s="73"/>
      <c r="LBL42" s="73"/>
      <c r="LBM42" s="73"/>
      <c r="LBN42" s="73"/>
      <c r="LBO42" s="73"/>
      <c r="LBP42" s="73"/>
      <c r="LBQ42" s="73"/>
      <c r="LBR42" s="73"/>
      <c r="LBS42" s="73"/>
      <c r="LBT42" s="73"/>
      <c r="LBU42" s="73"/>
      <c r="LBV42" s="73"/>
      <c r="LBW42" s="73"/>
      <c r="LBX42" s="73"/>
      <c r="LBY42" s="73"/>
      <c r="LBZ42" s="73"/>
      <c r="LCA42" s="73"/>
      <c r="LCB42" s="73"/>
      <c r="LCC42" s="73"/>
      <c r="LCD42" s="73"/>
      <c r="LCE42" s="73"/>
      <c r="LCF42" s="73"/>
      <c r="LCG42" s="73"/>
      <c r="LCH42" s="73"/>
      <c r="LCI42" s="73"/>
      <c r="LCJ42" s="73"/>
      <c r="LCK42" s="73"/>
      <c r="LCL42" s="73"/>
      <c r="LCM42" s="73"/>
      <c r="LCN42" s="73"/>
      <c r="LCO42" s="73"/>
      <c r="LCP42" s="73"/>
      <c r="LCQ42" s="73"/>
      <c r="LCR42" s="73"/>
      <c r="LCS42" s="73"/>
      <c r="LCT42" s="73"/>
      <c r="LCU42" s="73"/>
      <c r="LCV42" s="73"/>
      <c r="LCW42" s="73"/>
      <c r="LCX42" s="73"/>
      <c r="LCY42" s="73"/>
      <c r="LCZ42" s="73"/>
      <c r="LDA42" s="73"/>
      <c r="LDB42" s="73"/>
      <c r="LDC42" s="73"/>
      <c r="LDD42" s="73"/>
      <c r="LDE42" s="73"/>
      <c r="LDF42" s="73"/>
      <c r="LDG42" s="73"/>
      <c r="LDH42" s="73"/>
      <c r="LDI42" s="73"/>
      <c r="LDJ42" s="73"/>
      <c r="LDK42" s="73"/>
      <c r="LDL42" s="73"/>
      <c r="LDM42" s="73"/>
      <c r="LDN42" s="73"/>
      <c r="LDO42" s="73"/>
      <c r="LDP42" s="73"/>
      <c r="LDQ42" s="73"/>
      <c r="LDR42" s="73"/>
      <c r="LDS42" s="73"/>
      <c r="LDT42" s="73"/>
      <c r="LDU42" s="73"/>
      <c r="LDV42" s="73"/>
      <c r="LDW42" s="73"/>
      <c r="LDX42" s="73"/>
      <c r="LDY42" s="73"/>
      <c r="LDZ42" s="73"/>
      <c r="LEA42" s="73"/>
      <c r="LEB42" s="73"/>
      <c r="LEC42" s="73"/>
      <c r="LED42" s="73"/>
      <c r="LEE42" s="73"/>
      <c r="LEF42" s="73"/>
      <c r="LEG42" s="73"/>
      <c r="LEH42" s="73"/>
      <c r="LEI42" s="73"/>
      <c r="LEJ42" s="73"/>
      <c r="LEK42" s="73"/>
      <c r="LEL42" s="73"/>
      <c r="LEM42" s="73"/>
      <c r="LEN42" s="73"/>
      <c r="LEO42" s="73"/>
      <c r="LEP42" s="73"/>
      <c r="LEQ42" s="73"/>
      <c r="LER42" s="73"/>
      <c r="LES42" s="73"/>
      <c r="LET42" s="73"/>
      <c r="LEU42" s="73"/>
      <c r="LEV42" s="73"/>
      <c r="LEW42" s="73"/>
      <c r="LEX42" s="73"/>
      <c r="LEY42" s="73"/>
      <c r="LEZ42" s="73"/>
      <c r="LFA42" s="73"/>
      <c r="LFB42" s="73"/>
      <c r="LFC42" s="73"/>
      <c r="LFD42" s="73"/>
      <c r="LFE42" s="73"/>
      <c r="LFF42" s="73"/>
      <c r="LFG42" s="73"/>
      <c r="LFH42" s="73"/>
      <c r="LFI42" s="73"/>
      <c r="LFJ42" s="73"/>
      <c r="LFK42" s="73"/>
      <c r="LFL42" s="73"/>
      <c r="LFM42" s="73"/>
      <c r="LFN42" s="73"/>
      <c r="LFO42" s="73"/>
      <c r="LFP42" s="73"/>
      <c r="LFQ42" s="73"/>
      <c r="LFR42" s="73"/>
      <c r="LFS42" s="73"/>
      <c r="LFT42" s="73"/>
      <c r="LFU42" s="73"/>
      <c r="LFV42" s="73"/>
      <c r="LFW42" s="73"/>
      <c r="LFX42" s="73"/>
      <c r="LFY42" s="73"/>
      <c r="LFZ42" s="73"/>
      <c r="LGA42" s="73"/>
      <c r="LGB42" s="73"/>
      <c r="LGC42" s="73"/>
      <c r="LGD42" s="73"/>
      <c r="LGE42" s="73"/>
      <c r="LGF42" s="73"/>
      <c r="LGG42" s="73"/>
      <c r="LGH42" s="73"/>
      <c r="LGI42" s="73"/>
      <c r="LGJ42" s="73"/>
      <c r="LGK42" s="73"/>
      <c r="LGL42" s="73"/>
      <c r="LGM42" s="73"/>
      <c r="LGN42" s="73"/>
      <c r="LGO42" s="73"/>
      <c r="LGP42" s="73"/>
      <c r="LGQ42" s="73"/>
      <c r="LGR42" s="73"/>
      <c r="LGS42" s="73"/>
      <c r="LGT42" s="73"/>
      <c r="LGU42" s="73"/>
      <c r="LGV42" s="73"/>
      <c r="LGW42" s="73"/>
      <c r="LGX42" s="73"/>
      <c r="LGY42" s="73"/>
      <c r="LGZ42" s="73"/>
      <c r="LHA42" s="73"/>
      <c r="LHB42" s="73"/>
      <c r="LHC42" s="73"/>
      <c r="LHD42" s="73"/>
      <c r="LHE42" s="73"/>
      <c r="LHF42" s="73"/>
      <c r="LHG42" s="73"/>
      <c r="LHH42" s="73"/>
      <c r="LHI42" s="73"/>
      <c r="LHJ42" s="73"/>
      <c r="LHK42" s="73"/>
      <c r="LHL42" s="73"/>
      <c r="LHM42" s="73"/>
      <c r="LHN42" s="73"/>
      <c r="LHO42" s="73"/>
      <c r="LHP42" s="73"/>
      <c r="LHQ42" s="73"/>
      <c r="LHR42" s="73"/>
      <c r="LHS42" s="73"/>
      <c r="LHT42" s="73"/>
      <c r="LHU42" s="73"/>
      <c r="LHV42" s="73"/>
      <c r="LHW42" s="73"/>
      <c r="LHX42" s="73"/>
      <c r="LHY42" s="73"/>
      <c r="LHZ42" s="73"/>
      <c r="LIA42" s="73"/>
      <c r="LIB42" s="73"/>
      <c r="LIC42" s="73"/>
      <c r="LID42" s="73"/>
      <c r="LIE42" s="73"/>
      <c r="LIF42" s="73"/>
      <c r="LIG42" s="73"/>
      <c r="LIH42" s="73"/>
      <c r="LII42" s="73"/>
      <c r="LIJ42" s="73"/>
      <c r="LIK42" s="73"/>
      <c r="LIL42" s="73"/>
      <c r="LIM42" s="73"/>
      <c r="LIN42" s="73"/>
      <c r="LIO42" s="73"/>
      <c r="LIP42" s="73"/>
      <c r="LIQ42" s="73"/>
      <c r="LIR42" s="73"/>
      <c r="LIS42" s="73"/>
      <c r="LIT42" s="73"/>
      <c r="LIU42" s="73"/>
      <c r="LIV42" s="73"/>
      <c r="LIW42" s="73"/>
      <c r="LIX42" s="73"/>
      <c r="LIY42" s="73"/>
      <c r="LIZ42" s="73"/>
      <c r="LJA42" s="73"/>
      <c r="LJB42" s="73"/>
      <c r="LJC42" s="73"/>
      <c r="LJD42" s="73"/>
      <c r="LJE42" s="73"/>
      <c r="LJF42" s="73"/>
      <c r="LJG42" s="73"/>
      <c r="LJH42" s="73"/>
      <c r="LJI42" s="73"/>
      <c r="LJJ42" s="73"/>
      <c r="LJK42" s="73"/>
      <c r="LJL42" s="73"/>
      <c r="LJM42" s="73"/>
      <c r="LJN42" s="73"/>
      <c r="LJO42" s="73"/>
      <c r="LJP42" s="73"/>
      <c r="LJQ42" s="73"/>
      <c r="LJR42" s="73"/>
      <c r="LJS42" s="73"/>
      <c r="LJT42" s="73"/>
      <c r="LJU42" s="73"/>
      <c r="LJV42" s="73"/>
      <c r="LJW42" s="73"/>
      <c r="LJX42" s="73"/>
      <c r="LJY42" s="73"/>
      <c r="LJZ42" s="73"/>
      <c r="LKA42" s="73"/>
      <c r="LKB42" s="73"/>
      <c r="LKC42" s="73"/>
      <c r="LKD42" s="73"/>
      <c r="LKE42" s="73"/>
      <c r="LKF42" s="73"/>
      <c r="LKG42" s="73"/>
      <c r="LKH42" s="73"/>
      <c r="LKI42" s="73"/>
      <c r="LKJ42" s="73"/>
      <c r="LKK42" s="73"/>
      <c r="LKL42" s="73"/>
      <c r="LKM42" s="73"/>
      <c r="LKN42" s="73"/>
      <c r="LKO42" s="73"/>
      <c r="LKP42" s="73"/>
      <c r="LKQ42" s="73"/>
      <c r="LKR42" s="73"/>
      <c r="LKS42" s="73"/>
      <c r="LKT42" s="73"/>
      <c r="LKU42" s="73"/>
      <c r="LKV42" s="73"/>
      <c r="LKW42" s="73"/>
      <c r="LKX42" s="73"/>
      <c r="LKY42" s="73"/>
      <c r="LKZ42" s="73"/>
      <c r="LLA42" s="73"/>
      <c r="LLB42" s="73"/>
      <c r="LLC42" s="73"/>
      <c r="LLD42" s="73"/>
      <c r="LLE42" s="73"/>
      <c r="LLF42" s="73"/>
      <c r="LLG42" s="73"/>
      <c r="LLH42" s="73"/>
      <c r="LLI42" s="73"/>
      <c r="LLJ42" s="73"/>
      <c r="LLK42" s="73"/>
      <c r="LLL42" s="73"/>
      <c r="LLM42" s="73"/>
      <c r="LLN42" s="73"/>
      <c r="LLO42" s="73"/>
      <c r="LLP42" s="73"/>
      <c r="LLQ42" s="73"/>
      <c r="LLR42" s="73"/>
      <c r="LLS42" s="73"/>
      <c r="LLT42" s="73"/>
      <c r="LLU42" s="73"/>
      <c r="LLV42" s="73"/>
      <c r="LLW42" s="73"/>
      <c r="LLX42" s="73"/>
      <c r="LLY42" s="73"/>
      <c r="LLZ42" s="73"/>
      <c r="LMA42" s="73"/>
      <c r="LMB42" s="73"/>
      <c r="LMC42" s="73"/>
      <c r="LMD42" s="73"/>
      <c r="LME42" s="73"/>
      <c r="LMF42" s="73"/>
      <c r="LMG42" s="73"/>
      <c r="LMH42" s="73"/>
      <c r="LMI42" s="73"/>
      <c r="LMJ42" s="73"/>
      <c r="LMK42" s="73"/>
      <c r="LML42" s="73"/>
      <c r="LMM42" s="73"/>
      <c r="LMN42" s="73"/>
      <c r="LMO42" s="73"/>
      <c r="LMP42" s="73"/>
      <c r="LMQ42" s="73"/>
      <c r="LMR42" s="73"/>
      <c r="LMS42" s="73"/>
      <c r="LMT42" s="73"/>
      <c r="LMU42" s="73"/>
      <c r="LMV42" s="73"/>
      <c r="LMW42" s="73"/>
      <c r="LMX42" s="73"/>
      <c r="LMY42" s="73"/>
      <c r="LMZ42" s="73"/>
      <c r="LNA42" s="73"/>
      <c r="LNB42" s="73"/>
      <c r="LNC42" s="73"/>
      <c r="LND42" s="73"/>
      <c r="LNE42" s="73"/>
      <c r="LNF42" s="73"/>
      <c r="LNG42" s="73"/>
      <c r="LNH42" s="73"/>
      <c r="LNI42" s="73"/>
      <c r="LNJ42" s="73"/>
      <c r="LNK42" s="73"/>
      <c r="LNL42" s="73"/>
      <c r="LNM42" s="73"/>
      <c r="LNN42" s="73"/>
      <c r="LNO42" s="73"/>
      <c r="LNP42" s="73"/>
      <c r="LNQ42" s="73"/>
      <c r="LNR42" s="73"/>
      <c r="LNS42" s="73"/>
      <c r="LNT42" s="73"/>
      <c r="LNU42" s="73"/>
      <c r="LNV42" s="73"/>
      <c r="LNW42" s="73"/>
      <c r="LNX42" s="73"/>
      <c r="LNY42" s="73"/>
      <c r="LNZ42" s="73"/>
      <c r="LOA42" s="73"/>
      <c r="LOB42" s="73"/>
      <c r="LOC42" s="73"/>
      <c r="LOD42" s="73"/>
      <c r="LOE42" s="73"/>
      <c r="LOF42" s="73"/>
      <c r="LOG42" s="73"/>
      <c r="LOH42" s="73"/>
      <c r="LOI42" s="73"/>
      <c r="LOJ42" s="73"/>
      <c r="LOK42" s="73"/>
      <c r="LOL42" s="73"/>
      <c r="LOM42" s="73"/>
      <c r="LON42" s="73"/>
      <c r="LOO42" s="73"/>
      <c r="LOP42" s="73"/>
      <c r="LOQ42" s="73"/>
      <c r="LOR42" s="73"/>
      <c r="LOS42" s="73"/>
      <c r="LOT42" s="73"/>
      <c r="LOU42" s="73"/>
      <c r="LOV42" s="73"/>
      <c r="LOW42" s="73"/>
      <c r="LOX42" s="73"/>
      <c r="LOY42" s="73"/>
      <c r="LOZ42" s="73"/>
      <c r="LPA42" s="73"/>
      <c r="LPB42" s="73"/>
      <c r="LPC42" s="73"/>
      <c r="LPD42" s="73"/>
      <c r="LPE42" s="73"/>
      <c r="LPF42" s="73"/>
      <c r="LPG42" s="73"/>
      <c r="LPH42" s="73"/>
      <c r="LPI42" s="73"/>
      <c r="LPJ42" s="73"/>
      <c r="LPK42" s="73"/>
      <c r="LPL42" s="73"/>
      <c r="LPM42" s="73"/>
      <c r="LPN42" s="73"/>
      <c r="LPO42" s="73"/>
      <c r="LPP42" s="73"/>
      <c r="LPQ42" s="73"/>
      <c r="LPR42" s="73"/>
      <c r="LPS42" s="73"/>
      <c r="LPT42" s="73"/>
      <c r="LPU42" s="73"/>
      <c r="LPV42" s="73"/>
      <c r="LPW42" s="73"/>
      <c r="LPX42" s="73"/>
      <c r="LPY42" s="73"/>
      <c r="LPZ42" s="73"/>
      <c r="LQA42" s="73"/>
      <c r="LQB42" s="73"/>
      <c r="LQC42" s="73"/>
      <c r="LQD42" s="73"/>
      <c r="LQE42" s="73"/>
      <c r="LQF42" s="73"/>
      <c r="LQG42" s="73"/>
      <c r="LQH42" s="73"/>
      <c r="LQI42" s="73"/>
      <c r="LQJ42" s="73"/>
      <c r="LQK42" s="73"/>
      <c r="LQL42" s="73"/>
      <c r="LQM42" s="73"/>
      <c r="LQN42" s="73"/>
      <c r="LQO42" s="73"/>
      <c r="LQP42" s="73"/>
      <c r="LQQ42" s="73"/>
      <c r="LQR42" s="73"/>
      <c r="LQS42" s="73"/>
      <c r="LQT42" s="73"/>
      <c r="LQU42" s="73"/>
      <c r="LQV42" s="73"/>
      <c r="LQW42" s="73"/>
      <c r="LQX42" s="73"/>
      <c r="LQY42" s="73"/>
      <c r="LQZ42" s="73"/>
      <c r="LRA42" s="73"/>
      <c r="LRB42" s="73"/>
      <c r="LRC42" s="73"/>
      <c r="LRD42" s="73"/>
      <c r="LRE42" s="73"/>
      <c r="LRF42" s="73"/>
      <c r="LRG42" s="73"/>
      <c r="LRH42" s="73"/>
      <c r="LRI42" s="73"/>
      <c r="LRJ42" s="73"/>
      <c r="LRK42" s="73"/>
      <c r="LRL42" s="73"/>
      <c r="LRM42" s="73"/>
      <c r="LRN42" s="73"/>
      <c r="LRO42" s="73"/>
      <c r="LRP42" s="73"/>
      <c r="LRQ42" s="73"/>
      <c r="LRR42" s="73"/>
      <c r="LRS42" s="73"/>
      <c r="LRT42" s="73"/>
      <c r="LRU42" s="73"/>
      <c r="LRV42" s="73"/>
      <c r="LRW42" s="73"/>
      <c r="LRX42" s="73"/>
      <c r="LRY42" s="73"/>
      <c r="LRZ42" s="73"/>
      <c r="LSA42" s="73"/>
      <c r="LSB42" s="73"/>
      <c r="LSC42" s="73"/>
      <c r="LSD42" s="73"/>
      <c r="LSE42" s="73"/>
      <c r="LSF42" s="73"/>
      <c r="LSG42" s="73"/>
      <c r="LSH42" s="73"/>
      <c r="LSI42" s="73"/>
      <c r="LSJ42" s="73"/>
      <c r="LSK42" s="73"/>
      <c r="LSL42" s="73"/>
      <c r="LSM42" s="73"/>
      <c r="LSN42" s="73"/>
      <c r="LSO42" s="73"/>
      <c r="LSP42" s="73"/>
      <c r="LSQ42" s="73"/>
      <c r="LSR42" s="73"/>
      <c r="LSS42" s="73"/>
      <c r="LST42" s="73"/>
      <c r="LSU42" s="73"/>
      <c r="LSV42" s="73"/>
      <c r="LSW42" s="73"/>
      <c r="LSX42" s="73"/>
      <c r="LSY42" s="73"/>
      <c r="LSZ42" s="73"/>
      <c r="LTA42" s="73"/>
      <c r="LTB42" s="73"/>
      <c r="LTC42" s="73"/>
      <c r="LTD42" s="73"/>
      <c r="LTE42" s="73"/>
      <c r="LTF42" s="73"/>
      <c r="LTG42" s="73"/>
      <c r="LTH42" s="73"/>
      <c r="LTI42" s="73"/>
      <c r="LTJ42" s="73"/>
      <c r="LTK42" s="73"/>
      <c r="LTL42" s="73"/>
      <c r="LTM42" s="73"/>
      <c r="LTN42" s="73"/>
      <c r="LTO42" s="73"/>
      <c r="LTP42" s="73"/>
      <c r="LTQ42" s="73"/>
      <c r="LTR42" s="73"/>
      <c r="LTS42" s="73"/>
      <c r="LTT42" s="73"/>
      <c r="LTU42" s="73"/>
      <c r="LTV42" s="73"/>
      <c r="LTW42" s="73"/>
      <c r="LTX42" s="73"/>
      <c r="LTY42" s="73"/>
      <c r="LTZ42" s="73"/>
      <c r="LUA42" s="73"/>
      <c r="LUB42" s="73"/>
      <c r="LUC42" s="73"/>
      <c r="LUD42" s="73"/>
      <c r="LUE42" s="73"/>
      <c r="LUF42" s="73"/>
      <c r="LUG42" s="73"/>
      <c r="LUH42" s="73"/>
      <c r="LUI42" s="73"/>
      <c r="LUJ42" s="73"/>
      <c r="LUK42" s="73"/>
      <c r="LUL42" s="73"/>
      <c r="LUM42" s="73"/>
      <c r="LUN42" s="73"/>
      <c r="LUO42" s="73"/>
      <c r="LUP42" s="73"/>
      <c r="LUQ42" s="73"/>
      <c r="LUR42" s="73"/>
      <c r="LUS42" s="73"/>
      <c r="LUT42" s="73"/>
      <c r="LUU42" s="73"/>
      <c r="LUV42" s="73"/>
      <c r="LUW42" s="73"/>
      <c r="LUX42" s="73"/>
      <c r="LUY42" s="73"/>
      <c r="LUZ42" s="73"/>
      <c r="LVA42" s="73"/>
      <c r="LVB42" s="73"/>
      <c r="LVC42" s="73"/>
      <c r="LVD42" s="73"/>
      <c r="LVE42" s="73"/>
      <c r="LVF42" s="73"/>
      <c r="LVG42" s="73"/>
      <c r="LVH42" s="73"/>
      <c r="LVI42" s="73"/>
      <c r="LVJ42" s="73"/>
      <c r="LVK42" s="73"/>
      <c r="LVL42" s="73"/>
      <c r="LVM42" s="73"/>
      <c r="LVN42" s="73"/>
      <c r="LVO42" s="73"/>
      <c r="LVP42" s="73"/>
      <c r="LVQ42" s="73"/>
      <c r="LVR42" s="73"/>
      <c r="LVS42" s="73"/>
      <c r="LVT42" s="73"/>
      <c r="LVU42" s="73"/>
      <c r="LVV42" s="73"/>
      <c r="LVW42" s="73"/>
      <c r="LVX42" s="73"/>
      <c r="LVY42" s="73"/>
      <c r="LVZ42" s="73"/>
      <c r="LWA42" s="73"/>
      <c r="LWB42" s="73"/>
      <c r="LWC42" s="73"/>
      <c r="LWD42" s="73"/>
      <c r="LWE42" s="73"/>
      <c r="LWF42" s="73"/>
      <c r="LWG42" s="73"/>
      <c r="LWH42" s="73"/>
      <c r="LWI42" s="73"/>
      <c r="LWJ42" s="73"/>
      <c r="LWK42" s="73"/>
      <c r="LWL42" s="73"/>
      <c r="LWM42" s="73"/>
      <c r="LWN42" s="73"/>
      <c r="LWO42" s="73"/>
      <c r="LWP42" s="73"/>
      <c r="LWQ42" s="73"/>
      <c r="LWR42" s="73"/>
      <c r="LWS42" s="73"/>
      <c r="LWT42" s="73"/>
      <c r="LWU42" s="73"/>
      <c r="LWV42" s="73"/>
      <c r="LWW42" s="73"/>
      <c r="LWX42" s="73"/>
      <c r="LWY42" s="73"/>
      <c r="LWZ42" s="73"/>
      <c r="LXA42" s="73"/>
      <c r="LXB42" s="73"/>
      <c r="LXC42" s="73"/>
      <c r="LXD42" s="73"/>
      <c r="LXE42" s="73"/>
      <c r="LXF42" s="73"/>
      <c r="LXG42" s="73"/>
      <c r="LXH42" s="73"/>
      <c r="LXI42" s="73"/>
      <c r="LXJ42" s="73"/>
      <c r="LXK42" s="73"/>
      <c r="LXL42" s="73"/>
      <c r="LXM42" s="73"/>
      <c r="LXN42" s="73"/>
      <c r="LXO42" s="73"/>
      <c r="LXP42" s="73"/>
      <c r="LXQ42" s="73"/>
      <c r="LXR42" s="73"/>
      <c r="LXS42" s="73"/>
      <c r="LXT42" s="73"/>
      <c r="LXU42" s="73"/>
      <c r="LXV42" s="73"/>
      <c r="LXW42" s="73"/>
      <c r="LXX42" s="73"/>
      <c r="LXY42" s="73"/>
      <c r="LXZ42" s="73"/>
      <c r="LYA42" s="73"/>
      <c r="LYB42" s="73"/>
      <c r="LYC42" s="73"/>
      <c r="LYD42" s="73"/>
      <c r="LYE42" s="73"/>
      <c r="LYF42" s="73"/>
      <c r="LYG42" s="73"/>
      <c r="LYH42" s="73"/>
      <c r="LYI42" s="73"/>
      <c r="LYJ42" s="73"/>
      <c r="LYK42" s="73"/>
      <c r="LYL42" s="73"/>
      <c r="LYM42" s="73"/>
      <c r="LYN42" s="73"/>
      <c r="LYO42" s="73"/>
      <c r="LYP42" s="73"/>
      <c r="LYQ42" s="73"/>
      <c r="LYR42" s="73"/>
      <c r="LYS42" s="73"/>
      <c r="LYT42" s="73"/>
      <c r="LYU42" s="73"/>
      <c r="LYV42" s="73"/>
      <c r="LYW42" s="73"/>
      <c r="LYX42" s="73"/>
      <c r="LYY42" s="73"/>
      <c r="LYZ42" s="73"/>
      <c r="LZA42" s="73"/>
      <c r="LZB42" s="73"/>
      <c r="LZC42" s="73"/>
      <c r="LZD42" s="73"/>
      <c r="LZE42" s="73"/>
      <c r="LZF42" s="73"/>
      <c r="LZG42" s="73"/>
      <c r="LZH42" s="73"/>
      <c r="LZI42" s="73"/>
      <c r="LZJ42" s="73"/>
      <c r="LZK42" s="73"/>
      <c r="LZL42" s="73"/>
      <c r="LZM42" s="73"/>
      <c r="LZN42" s="73"/>
      <c r="LZO42" s="73"/>
      <c r="LZP42" s="73"/>
      <c r="LZQ42" s="73"/>
      <c r="LZR42" s="73"/>
      <c r="LZS42" s="73"/>
      <c r="LZT42" s="73"/>
      <c r="LZU42" s="73"/>
      <c r="LZV42" s="73"/>
      <c r="LZW42" s="73"/>
      <c r="LZX42" s="73"/>
      <c r="LZY42" s="73"/>
      <c r="LZZ42" s="73"/>
      <c r="MAA42" s="73"/>
      <c r="MAB42" s="73"/>
      <c r="MAC42" s="73"/>
      <c r="MAD42" s="73"/>
      <c r="MAE42" s="73"/>
      <c r="MAF42" s="73"/>
      <c r="MAG42" s="73"/>
      <c r="MAH42" s="73"/>
      <c r="MAI42" s="73"/>
      <c r="MAJ42" s="73"/>
      <c r="MAK42" s="73"/>
      <c r="MAL42" s="73"/>
      <c r="MAM42" s="73"/>
      <c r="MAN42" s="73"/>
      <c r="MAO42" s="73"/>
      <c r="MAP42" s="73"/>
      <c r="MAQ42" s="73"/>
      <c r="MAR42" s="73"/>
      <c r="MAS42" s="73"/>
      <c r="MAT42" s="73"/>
      <c r="MAU42" s="73"/>
      <c r="MAV42" s="73"/>
      <c r="MAW42" s="73"/>
      <c r="MAX42" s="73"/>
      <c r="MAY42" s="73"/>
      <c r="MAZ42" s="73"/>
      <c r="MBA42" s="73"/>
      <c r="MBB42" s="73"/>
      <c r="MBC42" s="73"/>
      <c r="MBD42" s="73"/>
      <c r="MBE42" s="73"/>
      <c r="MBF42" s="73"/>
      <c r="MBG42" s="73"/>
      <c r="MBH42" s="73"/>
      <c r="MBI42" s="73"/>
      <c r="MBJ42" s="73"/>
      <c r="MBK42" s="73"/>
      <c r="MBL42" s="73"/>
      <c r="MBM42" s="73"/>
      <c r="MBN42" s="73"/>
      <c r="MBO42" s="73"/>
      <c r="MBP42" s="73"/>
      <c r="MBQ42" s="73"/>
      <c r="MBR42" s="73"/>
      <c r="MBS42" s="73"/>
      <c r="MBT42" s="73"/>
      <c r="MBU42" s="73"/>
      <c r="MBV42" s="73"/>
      <c r="MBW42" s="73"/>
      <c r="MBX42" s="73"/>
      <c r="MBY42" s="73"/>
      <c r="MBZ42" s="73"/>
      <c r="MCA42" s="73"/>
      <c r="MCB42" s="73"/>
      <c r="MCC42" s="73"/>
      <c r="MCD42" s="73"/>
      <c r="MCE42" s="73"/>
      <c r="MCF42" s="73"/>
      <c r="MCG42" s="73"/>
      <c r="MCH42" s="73"/>
      <c r="MCI42" s="73"/>
      <c r="MCJ42" s="73"/>
      <c r="MCK42" s="73"/>
      <c r="MCL42" s="73"/>
      <c r="MCM42" s="73"/>
      <c r="MCN42" s="73"/>
      <c r="MCO42" s="73"/>
      <c r="MCP42" s="73"/>
      <c r="MCQ42" s="73"/>
      <c r="MCR42" s="73"/>
      <c r="MCS42" s="73"/>
      <c r="MCT42" s="73"/>
      <c r="MCU42" s="73"/>
      <c r="MCV42" s="73"/>
      <c r="MCW42" s="73"/>
      <c r="MCX42" s="73"/>
      <c r="MCY42" s="73"/>
      <c r="MCZ42" s="73"/>
      <c r="MDA42" s="73"/>
      <c r="MDB42" s="73"/>
      <c r="MDC42" s="73"/>
      <c r="MDD42" s="73"/>
      <c r="MDE42" s="73"/>
      <c r="MDF42" s="73"/>
      <c r="MDG42" s="73"/>
      <c r="MDH42" s="73"/>
      <c r="MDI42" s="73"/>
      <c r="MDJ42" s="73"/>
      <c r="MDK42" s="73"/>
      <c r="MDL42" s="73"/>
      <c r="MDM42" s="73"/>
      <c r="MDN42" s="73"/>
      <c r="MDO42" s="73"/>
      <c r="MDP42" s="73"/>
      <c r="MDQ42" s="73"/>
      <c r="MDR42" s="73"/>
      <c r="MDS42" s="73"/>
      <c r="MDT42" s="73"/>
      <c r="MDU42" s="73"/>
      <c r="MDV42" s="73"/>
      <c r="MDW42" s="73"/>
      <c r="MDX42" s="73"/>
      <c r="MDY42" s="73"/>
      <c r="MDZ42" s="73"/>
      <c r="MEA42" s="73"/>
      <c r="MEB42" s="73"/>
      <c r="MEC42" s="73"/>
      <c r="MED42" s="73"/>
      <c r="MEE42" s="73"/>
      <c r="MEF42" s="73"/>
      <c r="MEG42" s="73"/>
      <c r="MEH42" s="73"/>
      <c r="MEI42" s="73"/>
      <c r="MEJ42" s="73"/>
      <c r="MEK42" s="73"/>
      <c r="MEL42" s="73"/>
      <c r="MEM42" s="73"/>
      <c r="MEN42" s="73"/>
      <c r="MEO42" s="73"/>
      <c r="MEP42" s="73"/>
      <c r="MEQ42" s="73"/>
      <c r="MER42" s="73"/>
      <c r="MES42" s="73"/>
      <c r="MET42" s="73"/>
      <c r="MEU42" s="73"/>
      <c r="MEV42" s="73"/>
      <c r="MEW42" s="73"/>
      <c r="MEX42" s="73"/>
      <c r="MEY42" s="73"/>
      <c r="MEZ42" s="73"/>
      <c r="MFA42" s="73"/>
      <c r="MFB42" s="73"/>
      <c r="MFC42" s="73"/>
      <c r="MFD42" s="73"/>
      <c r="MFE42" s="73"/>
      <c r="MFF42" s="73"/>
      <c r="MFG42" s="73"/>
      <c r="MFH42" s="73"/>
      <c r="MFI42" s="73"/>
      <c r="MFJ42" s="73"/>
      <c r="MFK42" s="73"/>
      <c r="MFL42" s="73"/>
      <c r="MFM42" s="73"/>
      <c r="MFN42" s="73"/>
      <c r="MFO42" s="73"/>
      <c r="MFP42" s="73"/>
      <c r="MFQ42" s="73"/>
      <c r="MFR42" s="73"/>
      <c r="MFS42" s="73"/>
      <c r="MFT42" s="73"/>
      <c r="MFU42" s="73"/>
      <c r="MFV42" s="73"/>
      <c r="MFW42" s="73"/>
      <c r="MFX42" s="73"/>
      <c r="MFY42" s="73"/>
      <c r="MFZ42" s="73"/>
      <c r="MGA42" s="73"/>
      <c r="MGB42" s="73"/>
      <c r="MGC42" s="73"/>
      <c r="MGD42" s="73"/>
      <c r="MGE42" s="73"/>
      <c r="MGF42" s="73"/>
      <c r="MGG42" s="73"/>
      <c r="MGH42" s="73"/>
      <c r="MGI42" s="73"/>
      <c r="MGJ42" s="73"/>
      <c r="MGK42" s="73"/>
      <c r="MGL42" s="73"/>
      <c r="MGM42" s="73"/>
      <c r="MGN42" s="73"/>
      <c r="MGO42" s="73"/>
      <c r="MGP42" s="73"/>
      <c r="MGQ42" s="73"/>
      <c r="MGR42" s="73"/>
      <c r="MGS42" s="73"/>
      <c r="MGT42" s="73"/>
      <c r="MGU42" s="73"/>
      <c r="MGV42" s="73"/>
      <c r="MGW42" s="73"/>
      <c r="MGX42" s="73"/>
      <c r="MGY42" s="73"/>
      <c r="MGZ42" s="73"/>
      <c r="MHA42" s="73"/>
      <c r="MHB42" s="73"/>
      <c r="MHC42" s="73"/>
      <c r="MHD42" s="73"/>
      <c r="MHE42" s="73"/>
      <c r="MHF42" s="73"/>
      <c r="MHG42" s="73"/>
      <c r="MHH42" s="73"/>
      <c r="MHI42" s="73"/>
      <c r="MHJ42" s="73"/>
      <c r="MHK42" s="73"/>
      <c r="MHL42" s="73"/>
      <c r="MHM42" s="73"/>
      <c r="MHN42" s="73"/>
      <c r="MHO42" s="73"/>
      <c r="MHP42" s="73"/>
      <c r="MHQ42" s="73"/>
      <c r="MHR42" s="73"/>
      <c r="MHS42" s="73"/>
      <c r="MHT42" s="73"/>
      <c r="MHU42" s="73"/>
      <c r="MHV42" s="73"/>
      <c r="MHW42" s="73"/>
      <c r="MHX42" s="73"/>
      <c r="MHY42" s="73"/>
      <c r="MHZ42" s="73"/>
      <c r="MIA42" s="73"/>
      <c r="MIB42" s="73"/>
      <c r="MIC42" s="73"/>
      <c r="MID42" s="73"/>
      <c r="MIE42" s="73"/>
      <c r="MIF42" s="73"/>
      <c r="MIG42" s="73"/>
      <c r="MIH42" s="73"/>
      <c r="MII42" s="73"/>
      <c r="MIJ42" s="73"/>
      <c r="MIK42" s="73"/>
      <c r="MIL42" s="73"/>
      <c r="MIM42" s="73"/>
      <c r="MIN42" s="73"/>
      <c r="MIO42" s="73"/>
      <c r="MIP42" s="73"/>
      <c r="MIQ42" s="73"/>
      <c r="MIR42" s="73"/>
      <c r="MIS42" s="73"/>
      <c r="MIT42" s="73"/>
      <c r="MIU42" s="73"/>
      <c r="MIV42" s="73"/>
      <c r="MIW42" s="73"/>
      <c r="MIX42" s="73"/>
      <c r="MIY42" s="73"/>
      <c r="MIZ42" s="73"/>
      <c r="MJA42" s="73"/>
      <c r="MJB42" s="73"/>
      <c r="MJC42" s="73"/>
      <c r="MJD42" s="73"/>
      <c r="MJE42" s="73"/>
      <c r="MJF42" s="73"/>
      <c r="MJG42" s="73"/>
      <c r="MJH42" s="73"/>
      <c r="MJI42" s="73"/>
      <c r="MJJ42" s="73"/>
      <c r="MJK42" s="73"/>
      <c r="MJL42" s="73"/>
      <c r="MJM42" s="73"/>
      <c r="MJN42" s="73"/>
      <c r="MJO42" s="73"/>
      <c r="MJP42" s="73"/>
      <c r="MJQ42" s="73"/>
      <c r="MJR42" s="73"/>
      <c r="MJS42" s="73"/>
      <c r="MJT42" s="73"/>
      <c r="MJU42" s="73"/>
      <c r="MJV42" s="73"/>
      <c r="MJW42" s="73"/>
      <c r="MJX42" s="73"/>
      <c r="MJY42" s="73"/>
      <c r="MJZ42" s="73"/>
      <c r="MKA42" s="73"/>
      <c r="MKB42" s="73"/>
      <c r="MKC42" s="73"/>
      <c r="MKD42" s="73"/>
      <c r="MKE42" s="73"/>
      <c r="MKF42" s="73"/>
      <c r="MKG42" s="73"/>
      <c r="MKH42" s="73"/>
      <c r="MKI42" s="73"/>
      <c r="MKJ42" s="73"/>
      <c r="MKK42" s="73"/>
      <c r="MKL42" s="73"/>
      <c r="MKM42" s="73"/>
      <c r="MKN42" s="73"/>
      <c r="MKO42" s="73"/>
      <c r="MKP42" s="73"/>
      <c r="MKQ42" s="73"/>
      <c r="MKR42" s="73"/>
      <c r="MKS42" s="73"/>
      <c r="MKT42" s="73"/>
      <c r="MKU42" s="73"/>
      <c r="MKV42" s="73"/>
      <c r="MKW42" s="73"/>
      <c r="MKX42" s="73"/>
      <c r="MKY42" s="73"/>
      <c r="MKZ42" s="73"/>
      <c r="MLA42" s="73"/>
      <c r="MLB42" s="73"/>
      <c r="MLC42" s="73"/>
      <c r="MLD42" s="73"/>
      <c r="MLE42" s="73"/>
      <c r="MLF42" s="73"/>
      <c r="MLG42" s="73"/>
      <c r="MLH42" s="73"/>
      <c r="MLI42" s="73"/>
      <c r="MLJ42" s="73"/>
      <c r="MLK42" s="73"/>
      <c r="MLL42" s="73"/>
      <c r="MLM42" s="73"/>
      <c r="MLN42" s="73"/>
      <c r="MLO42" s="73"/>
      <c r="MLP42" s="73"/>
      <c r="MLQ42" s="73"/>
      <c r="MLR42" s="73"/>
      <c r="MLS42" s="73"/>
      <c r="MLT42" s="73"/>
      <c r="MLU42" s="73"/>
      <c r="MLV42" s="73"/>
      <c r="MLW42" s="73"/>
      <c r="MLX42" s="73"/>
      <c r="MLY42" s="73"/>
      <c r="MLZ42" s="73"/>
      <c r="MMA42" s="73"/>
      <c r="MMB42" s="73"/>
      <c r="MMC42" s="73"/>
      <c r="MMD42" s="73"/>
      <c r="MME42" s="73"/>
      <c r="MMF42" s="73"/>
      <c r="MMG42" s="73"/>
      <c r="MMH42" s="73"/>
      <c r="MMI42" s="73"/>
      <c r="MMJ42" s="73"/>
      <c r="MMK42" s="73"/>
      <c r="MML42" s="73"/>
      <c r="MMM42" s="73"/>
      <c r="MMN42" s="73"/>
      <c r="MMO42" s="73"/>
      <c r="MMP42" s="73"/>
      <c r="MMQ42" s="73"/>
      <c r="MMR42" s="73"/>
      <c r="MMS42" s="73"/>
      <c r="MMT42" s="73"/>
      <c r="MMU42" s="73"/>
      <c r="MMV42" s="73"/>
      <c r="MMW42" s="73"/>
      <c r="MMX42" s="73"/>
      <c r="MMY42" s="73"/>
      <c r="MMZ42" s="73"/>
      <c r="MNA42" s="73"/>
      <c r="MNB42" s="73"/>
      <c r="MNC42" s="73"/>
      <c r="MND42" s="73"/>
      <c r="MNE42" s="73"/>
      <c r="MNF42" s="73"/>
      <c r="MNG42" s="73"/>
      <c r="MNH42" s="73"/>
      <c r="MNI42" s="73"/>
      <c r="MNJ42" s="73"/>
      <c r="MNK42" s="73"/>
      <c r="MNL42" s="73"/>
      <c r="MNM42" s="73"/>
      <c r="MNN42" s="73"/>
      <c r="MNO42" s="73"/>
      <c r="MNP42" s="73"/>
      <c r="MNQ42" s="73"/>
      <c r="MNR42" s="73"/>
      <c r="MNS42" s="73"/>
      <c r="MNT42" s="73"/>
      <c r="MNU42" s="73"/>
      <c r="MNV42" s="73"/>
      <c r="MNW42" s="73"/>
      <c r="MNX42" s="73"/>
      <c r="MNY42" s="73"/>
      <c r="MNZ42" s="73"/>
      <c r="MOA42" s="73"/>
      <c r="MOB42" s="73"/>
      <c r="MOC42" s="73"/>
      <c r="MOD42" s="73"/>
      <c r="MOE42" s="73"/>
      <c r="MOF42" s="73"/>
      <c r="MOG42" s="73"/>
      <c r="MOH42" s="73"/>
      <c r="MOI42" s="73"/>
      <c r="MOJ42" s="73"/>
      <c r="MOK42" s="73"/>
      <c r="MOL42" s="73"/>
      <c r="MOM42" s="73"/>
      <c r="MON42" s="73"/>
      <c r="MOO42" s="73"/>
      <c r="MOP42" s="73"/>
      <c r="MOQ42" s="73"/>
      <c r="MOR42" s="73"/>
      <c r="MOS42" s="73"/>
      <c r="MOT42" s="73"/>
      <c r="MOU42" s="73"/>
      <c r="MOV42" s="73"/>
      <c r="MOW42" s="73"/>
      <c r="MOX42" s="73"/>
      <c r="MOY42" s="73"/>
      <c r="MOZ42" s="73"/>
      <c r="MPA42" s="73"/>
      <c r="MPB42" s="73"/>
      <c r="MPC42" s="73"/>
      <c r="MPD42" s="73"/>
      <c r="MPE42" s="73"/>
      <c r="MPF42" s="73"/>
      <c r="MPG42" s="73"/>
      <c r="MPH42" s="73"/>
      <c r="MPI42" s="73"/>
      <c r="MPJ42" s="73"/>
      <c r="MPK42" s="73"/>
      <c r="MPL42" s="73"/>
      <c r="MPM42" s="73"/>
      <c r="MPN42" s="73"/>
      <c r="MPO42" s="73"/>
      <c r="MPP42" s="73"/>
      <c r="MPQ42" s="73"/>
      <c r="MPR42" s="73"/>
      <c r="MPS42" s="73"/>
      <c r="MPT42" s="73"/>
      <c r="MPU42" s="73"/>
      <c r="MPV42" s="73"/>
      <c r="MPW42" s="73"/>
      <c r="MPX42" s="73"/>
      <c r="MPY42" s="73"/>
      <c r="MPZ42" s="73"/>
      <c r="MQA42" s="73"/>
      <c r="MQB42" s="73"/>
      <c r="MQC42" s="73"/>
      <c r="MQD42" s="73"/>
      <c r="MQE42" s="73"/>
      <c r="MQF42" s="73"/>
      <c r="MQG42" s="73"/>
      <c r="MQH42" s="73"/>
      <c r="MQI42" s="73"/>
      <c r="MQJ42" s="73"/>
      <c r="MQK42" s="73"/>
      <c r="MQL42" s="73"/>
      <c r="MQM42" s="73"/>
      <c r="MQN42" s="73"/>
      <c r="MQO42" s="73"/>
      <c r="MQP42" s="73"/>
      <c r="MQQ42" s="73"/>
      <c r="MQR42" s="73"/>
      <c r="MQS42" s="73"/>
      <c r="MQT42" s="73"/>
      <c r="MQU42" s="73"/>
      <c r="MQV42" s="73"/>
      <c r="MQW42" s="73"/>
      <c r="MQX42" s="73"/>
      <c r="MQY42" s="73"/>
      <c r="MQZ42" s="73"/>
      <c r="MRA42" s="73"/>
      <c r="MRB42" s="73"/>
      <c r="MRC42" s="73"/>
      <c r="MRD42" s="73"/>
      <c r="MRE42" s="73"/>
      <c r="MRF42" s="73"/>
      <c r="MRG42" s="73"/>
      <c r="MRH42" s="73"/>
      <c r="MRI42" s="73"/>
      <c r="MRJ42" s="73"/>
      <c r="MRK42" s="73"/>
      <c r="MRL42" s="73"/>
      <c r="MRM42" s="73"/>
      <c r="MRN42" s="73"/>
      <c r="MRO42" s="73"/>
      <c r="MRP42" s="73"/>
      <c r="MRQ42" s="73"/>
      <c r="MRR42" s="73"/>
      <c r="MRS42" s="73"/>
      <c r="MRT42" s="73"/>
      <c r="MRU42" s="73"/>
      <c r="MRV42" s="73"/>
      <c r="MRW42" s="73"/>
      <c r="MRX42" s="73"/>
      <c r="MRY42" s="73"/>
      <c r="MRZ42" s="73"/>
      <c r="MSA42" s="73"/>
      <c r="MSB42" s="73"/>
      <c r="MSC42" s="73"/>
      <c r="MSD42" s="73"/>
      <c r="MSE42" s="73"/>
      <c r="MSF42" s="73"/>
      <c r="MSG42" s="73"/>
      <c r="MSH42" s="73"/>
      <c r="MSI42" s="73"/>
      <c r="MSJ42" s="73"/>
      <c r="MSK42" s="73"/>
      <c r="MSL42" s="73"/>
      <c r="MSM42" s="73"/>
      <c r="MSN42" s="73"/>
      <c r="MSO42" s="73"/>
      <c r="MSP42" s="73"/>
      <c r="MSQ42" s="73"/>
      <c r="MSR42" s="73"/>
      <c r="MSS42" s="73"/>
      <c r="MST42" s="73"/>
      <c r="MSU42" s="73"/>
      <c r="MSV42" s="73"/>
      <c r="MSW42" s="73"/>
      <c r="MSX42" s="73"/>
      <c r="MSY42" s="73"/>
      <c r="MSZ42" s="73"/>
      <c r="MTA42" s="73"/>
      <c r="MTB42" s="73"/>
      <c r="MTC42" s="73"/>
      <c r="MTD42" s="73"/>
      <c r="MTE42" s="73"/>
      <c r="MTF42" s="73"/>
      <c r="MTG42" s="73"/>
      <c r="MTH42" s="73"/>
      <c r="MTI42" s="73"/>
      <c r="MTJ42" s="73"/>
      <c r="MTK42" s="73"/>
      <c r="MTL42" s="73"/>
      <c r="MTM42" s="73"/>
      <c r="MTN42" s="73"/>
      <c r="MTO42" s="73"/>
      <c r="MTP42" s="73"/>
      <c r="MTQ42" s="73"/>
      <c r="MTR42" s="73"/>
      <c r="MTS42" s="73"/>
      <c r="MTT42" s="73"/>
      <c r="MTU42" s="73"/>
      <c r="MTV42" s="73"/>
      <c r="MTW42" s="73"/>
      <c r="MTX42" s="73"/>
      <c r="MTY42" s="73"/>
      <c r="MTZ42" s="73"/>
      <c r="MUA42" s="73"/>
      <c r="MUB42" s="73"/>
      <c r="MUC42" s="73"/>
      <c r="MUD42" s="73"/>
      <c r="MUE42" s="73"/>
      <c r="MUF42" s="73"/>
      <c r="MUG42" s="73"/>
      <c r="MUH42" s="73"/>
      <c r="MUI42" s="73"/>
      <c r="MUJ42" s="73"/>
      <c r="MUK42" s="73"/>
      <c r="MUL42" s="73"/>
      <c r="MUM42" s="73"/>
      <c r="MUN42" s="73"/>
      <c r="MUO42" s="73"/>
      <c r="MUP42" s="73"/>
      <c r="MUQ42" s="73"/>
      <c r="MUR42" s="73"/>
      <c r="MUS42" s="73"/>
      <c r="MUT42" s="73"/>
      <c r="MUU42" s="73"/>
      <c r="MUV42" s="73"/>
      <c r="MUW42" s="73"/>
      <c r="MUX42" s="73"/>
      <c r="MUY42" s="73"/>
      <c r="MUZ42" s="73"/>
      <c r="MVA42" s="73"/>
      <c r="MVB42" s="73"/>
      <c r="MVC42" s="73"/>
      <c r="MVD42" s="73"/>
      <c r="MVE42" s="73"/>
      <c r="MVF42" s="73"/>
      <c r="MVG42" s="73"/>
      <c r="MVH42" s="73"/>
      <c r="MVI42" s="73"/>
      <c r="MVJ42" s="73"/>
      <c r="MVK42" s="73"/>
      <c r="MVL42" s="73"/>
      <c r="MVM42" s="73"/>
      <c r="MVN42" s="73"/>
      <c r="MVO42" s="73"/>
      <c r="MVP42" s="73"/>
      <c r="MVQ42" s="73"/>
      <c r="MVR42" s="73"/>
      <c r="MVS42" s="73"/>
      <c r="MVT42" s="73"/>
      <c r="MVU42" s="73"/>
      <c r="MVV42" s="73"/>
      <c r="MVW42" s="73"/>
      <c r="MVX42" s="73"/>
      <c r="MVY42" s="73"/>
      <c r="MVZ42" s="73"/>
      <c r="MWA42" s="73"/>
      <c r="MWB42" s="73"/>
      <c r="MWC42" s="73"/>
      <c r="MWD42" s="73"/>
      <c r="MWE42" s="73"/>
      <c r="MWF42" s="73"/>
      <c r="MWG42" s="73"/>
      <c r="MWH42" s="73"/>
      <c r="MWI42" s="73"/>
      <c r="MWJ42" s="73"/>
      <c r="MWK42" s="73"/>
      <c r="MWL42" s="73"/>
      <c r="MWM42" s="73"/>
      <c r="MWN42" s="73"/>
      <c r="MWO42" s="73"/>
      <c r="MWP42" s="73"/>
      <c r="MWQ42" s="73"/>
      <c r="MWR42" s="73"/>
      <c r="MWS42" s="73"/>
      <c r="MWT42" s="73"/>
      <c r="MWU42" s="73"/>
      <c r="MWV42" s="73"/>
      <c r="MWW42" s="73"/>
      <c r="MWX42" s="73"/>
      <c r="MWY42" s="73"/>
      <c r="MWZ42" s="73"/>
      <c r="MXA42" s="73"/>
      <c r="MXB42" s="73"/>
      <c r="MXC42" s="73"/>
      <c r="MXD42" s="73"/>
      <c r="MXE42" s="73"/>
      <c r="MXF42" s="73"/>
      <c r="MXG42" s="73"/>
      <c r="MXH42" s="73"/>
      <c r="MXI42" s="73"/>
      <c r="MXJ42" s="73"/>
      <c r="MXK42" s="73"/>
      <c r="MXL42" s="73"/>
      <c r="MXM42" s="73"/>
      <c r="MXN42" s="73"/>
      <c r="MXO42" s="73"/>
      <c r="MXP42" s="73"/>
      <c r="MXQ42" s="73"/>
      <c r="MXR42" s="73"/>
      <c r="MXS42" s="73"/>
      <c r="MXT42" s="73"/>
      <c r="MXU42" s="73"/>
      <c r="MXV42" s="73"/>
      <c r="MXW42" s="73"/>
      <c r="MXX42" s="73"/>
      <c r="MXY42" s="73"/>
      <c r="MXZ42" s="73"/>
      <c r="MYA42" s="73"/>
      <c r="MYB42" s="73"/>
      <c r="MYC42" s="73"/>
      <c r="MYD42" s="73"/>
      <c r="MYE42" s="73"/>
      <c r="MYF42" s="73"/>
      <c r="MYG42" s="73"/>
      <c r="MYH42" s="73"/>
      <c r="MYI42" s="73"/>
      <c r="MYJ42" s="73"/>
      <c r="MYK42" s="73"/>
      <c r="MYL42" s="73"/>
      <c r="MYM42" s="73"/>
      <c r="MYN42" s="73"/>
      <c r="MYO42" s="73"/>
      <c r="MYP42" s="73"/>
      <c r="MYQ42" s="73"/>
      <c r="MYR42" s="73"/>
      <c r="MYS42" s="73"/>
      <c r="MYT42" s="73"/>
      <c r="MYU42" s="73"/>
      <c r="MYV42" s="73"/>
      <c r="MYW42" s="73"/>
      <c r="MYX42" s="73"/>
      <c r="MYY42" s="73"/>
      <c r="MYZ42" s="73"/>
      <c r="MZA42" s="73"/>
      <c r="MZB42" s="73"/>
      <c r="MZC42" s="73"/>
      <c r="MZD42" s="73"/>
      <c r="MZE42" s="73"/>
      <c r="MZF42" s="73"/>
      <c r="MZG42" s="73"/>
      <c r="MZH42" s="73"/>
      <c r="MZI42" s="73"/>
      <c r="MZJ42" s="73"/>
      <c r="MZK42" s="73"/>
      <c r="MZL42" s="73"/>
      <c r="MZM42" s="73"/>
      <c r="MZN42" s="73"/>
      <c r="MZO42" s="73"/>
      <c r="MZP42" s="73"/>
      <c r="MZQ42" s="73"/>
      <c r="MZR42" s="73"/>
      <c r="MZS42" s="73"/>
      <c r="MZT42" s="73"/>
      <c r="MZU42" s="73"/>
      <c r="MZV42" s="73"/>
      <c r="MZW42" s="73"/>
      <c r="MZX42" s="73"/>
      <c r="MZY42" s="73"/>
      <c r="MZZ42" s="73"/>
      <c r="NAA42" s="73"/>
      <c r="NAB42" s="73"/>
      <c r="NAC42" s="73"/>
      <c r="NAD42" s="73"/>
      <c r="NAE42" s="73"/>
      <c r="NAF42" s="73"/>
      <c r="NAG42" s="73"/>
      <c r="NAH42" s="73"/>
      <c r="NAI42" s="73"/>
      <c r="NAJ42" s="73"/>
      <c r="NAK42" s="73"/>
      <c r="NAL42" s="73"/>
      <c r="NAM42" s="73"/>
      <c r="NAN42" s="73"/>
      <c r="NAO42" s="73"/>
      <c r="NAP42" s="73"/>
      <c r="NAQ42" s="73"/>
      <c r="NAR42" s="73"/>
      <c r="NAS42" s="73"/>
      <c r="NAT42" s="73"/>
      <c r="NAU42" s="73"/>
      <c r="NAV42" s="73"/>
      <c r="NAW42" s="73"/>
      <c r="NAX42" s="73"/>
      <c r="NAY42" s="73"/>
      <c r="NAZ42" s="73"/>
      <c r="NBA42" s="73"/>
      <c r="NBB42" s="73"/>
      <c r="NBC42" s="73"/>
      <c r="NBD42" s="73"/>
      <c r="NBE42" s="73"/>
      <c r="NBF42" s="73"/>
      <c r="NBG42" s="73"/>
      <c r="NBH42" s="73"/>
      <c r="NBI42" s="73"/>
      <c r="NBJ42" s="73"/>
      <c r="NBK42" s="73"/>
      <c r="NBL42" s="73"/>
      <c r="NBM42" s="73"/>
      <c r="NBN42" s="73"/>
      <c r="NBO42" s="73"/>
      <c r="NBP42" s="73"/>
      <c r="NBQ42" s="73"/>
      <c r="NBR42" s="73"/>
      <c r="NBS42" s="73"/>
      <c r="NBT42" s="73"/>
      <c r="NBU42" s="73"/>
      <c r="NBV42" s="73"/>
      <c r="NBW42" s="73"/>
      <c r="NBX42" s="73"/>
      <c r="NBY42" s="73"/>
      <c r="NBZ42" s="73"/>
      <c r="NCA42" s="73"/>
      <c r="NCB42" s="73"/>
      <c r="NCC42" s="73"/>
      <c r="NCD42" s="73"/>
      <c r="NCE42" s="73"/>
      <c r="NCF42" s="73"/>
      <c r="NCG42" s="73"/>
      <c r="NCH42" s="73"/>
      <c r="NCI42" s="73"/>
      <c r="NCJ42" s="73"/>
      <c r="NCK42" s="73"/>
      <c r="NCL42" s="73"/>
      <c r="NCM42" s="73"/>
      <c r="NCN42" s="73"/>
      <c r="NCO42" s="73"/>
      <c r="NCP42" s="73"/>
      <c r="NCQ42" s="73"/>
      <c r="NCR42" s="73"/>
      <c r="NCS42" s="73"/>
      <c r="NCT42" s="73"/>
      <c r="NCU42" s="73"/>
      <c r="NCV42" s="73"/>
      <c r="NCW42" s="73"/>
      <c r="NCX42" s="73"/>
      <c r="NCY42" s="73"/>
      <c r="NCZ42" s="73"/>
      <c r="NDA42" s="73"/>
      <c r="NDB42" s="73"/>
      <c r="NDC42" s="73"/>
      <c r="NDD42" s="73"/>
      <c r="NDE42" s="73"/>
      <c r="NDF42" s="73"/>
      <c r="NDG42" s="73"/>
      <c r="NDH42" s="73"/>
      <c r="NDI42" s="73"/>
      <c r="NDJ42" s="73"/>
      <c r="NDK42" s="73"/>
      <c r="NDL42" s="73"/>
      <c r="NDM42" s="73"/>
      <c r="NDN42" s="73"/>
      <c r="NDO42" s="73"/>
      <c r="NDP42" s="73"/>
      <c r="NDQ42" s="73"/>
      <c r="NDR42" s="73"/>
      <c r="NDS42" s="73"/>
      <c r="NDT42" s="73"/>
      <c r="NDU42" s="73"/>
      <c r="NDV42" s="73"/>
      <c r="NDW42" s="73"/>
      <c r="NDX42" s="73"/>
      <c r="NDY42" s="73"/>
      <c r="NDZ42" s="73"/>
      <c r="NEA42" s="73"/>
      <c r="NEB42" s="73"/>
      <c r="NEC42" s="73"/>
      <c r="NED42" s="73"/>
      <c r="NEE42" s="73"/>
      <c r="NEF42" s="73"/>
      <c r="NEG42" s="73"/>
      <c r="NEH42" s="73"/>
      <c r="NEI42" s="73"/>
      <c r="NEJ42" s="73"/>
      <c r="NEK42" s="73"/>
      <c r="NEL42" s="73"/>
      <c r="NEM42" s="73"/>
      <c r="NEN42" s="73"/>
      <c r="NEO42" s="73"/>
      <c r="NEP42" s="73"/>
      <c r="NEQ42" s="73"/>
      <c r="NER42" s="73"/>
      <c r="NES42" s="73"/>
      <c r="NET42" s="73"/>
      <c r="NEU42" s="73"/>
      <c r="NEV42" s="73"/>
      <c r="NEW42" s="73"/>
      <c r="NEX42" s="73"/>
      <c r="NEY42" s="73"/>
      <c r="NEZ42" s="73"/>
      <c r="NFA42" s="73"/>
      <c r="NFB42" s="73"/>
      <c r="NFC42" s="73"/>
      <c r="NFD42" s="73"/>
      <c r="NFE42" s="73"/>
      <c r="NFF42" s="73"/>
      <c r="NFG42" s="73"/>
      <c r="NFH42" s="73"/>
      <c r="NFI42" s="73"/>
      <c r="NFJ42" s="73"/>
      <c r="NFK42" s="73"/>
      <c r="NFL42" s="73"/>
      <c r="NFM42" s="73"/>
      <c r="NFN42" s="73"/>
      <c r="NFO42" s="73"/>
      <c r="NFP42" s="73"/>
      <c r="NFQ42" s="73"/>
      <c r="NFR42" s="73"/>
      <c r="NFS42" s="73"/>
      <c r="NFT42" s="73"/>
      <c r="NFU42" s="73"/>
      <c r="NFV42" s="73"/>
      <c r="NFW42" s="73"/>
      <c r="NFX42" s="73"/>
      <c r="NFY42" s="73"/>
      <c r="NFZ42" s="73"/>
      <c r="NGA42" s="73"/>
      <c r="NGB42" s="73"/>
      <c r="NGC42" s="73"/>
      <c r="NGD42" s="73"/>
      <c r="NGE42" s="73"/>
      <c r="NGF42" s="73"/>
      <c r="NGG42" s="73"/>
      <c r="NGH42" s="73"/>
      <c r="NGI42" s="73"/>
      <c r="NGJ42" s="73"/>
      <c r="NGK42" s="73"/>
      <c r="NGL42" s="73"/>
      <c r="NGM42" s="73"/>
      <c r="NGN42" s="73"/>
      <c r="NGO42" s="73"/>
      <c r="NGP42" s="73"/>
      <c r="NGQ42" s="73"/>
      <c r="NGR42" s="73"/>
      <c r="NGS42" s="73"/>
      <c r="NGT42" s="73"/>
      <c r="NGU42" s="73"/>
      <c r="NGV42" s="73"/>
      <c r="NGW42" s="73"/>
      <c r="NGX42" s="73"/>
      <c r="NGY42" s="73"/>
      <c r="NGZ42" s="73"/>
      <c r="NHA42" s="73"/>
      <c r="NHB42" s="73"/>
      <c r="NHC42" s="73"/>
      <c r="NHD42" s="73"/>
      <c r="NHE42" s="73"/>
      <c r="NHF42" s="73"/>
      <c r="NHG42" s="73"/>
      <c r="NHH42" s="73"/>
      <c r="NHI42" s="73"/>
      <c r="NHJ42" s="73"/>
      <c r="NHK42" s="73"/>
      <c r="NHL42" s="73"/>
      <c r="NHM42" s="73"/>
      <c r="NHN42" s="73"/>
      <c r="NHO42" s="73"/>
      <c r="NHP42" s="73"/>
      <c r="NHQ42" s="73"/>
      <c r="NHR42" s="73"/>
      <c r="NHS42" s="73"/>
      <c r="NHT42" s="73"/>
      <c r="NHU42" s="73"/>
      <c r="NHV42" s="73"/>
      <c r="NHW42" s="73"/>
      <c r="NHX42" s="73"/>
      <c r="NHY42" s="73"/>
      <c r="NHZ42" s="73"/>
      <c r="NIA42" s="73"/>
      <c r="NIB42" s="73"/>
      <c r="NIC42" s="73"/>
      <c r="NID42" s="73"/>
      <c r="NIE42" s="73"/>
      <c r="NIF42" s="73"/>
      <c r="NIG42" s="73"/>
      <c r="NIH42" s="73"/>
      <c r="NII42" s="73"/>
      <c r="NIJ42" s="73"/>
      <c r="NIK42" s="73"/>
      <c r="NIL42" s="73"/>
      <c r="NIM42" s="73"/>
      <c r="NIN42" s="73"/>
      <c r="NIO42" s="73"/>
      <c r="NIP42" s="73"/>
      <c r="NIQ42" s="73"/>
      <c r="NIR42" s="73"/>
      <c r="NIS42" s="73"/>
      <c r="NIT42" s="73"/>
      <c r="NIU42" s="73"/>
      <c r="NIV42" s="73"/>
      <c r="NIW42" s="73"/>
      <c r="NIX42" s="73"/>
      <c r="NIY42" s="73"/>
      <c r="NIZ42" s="73"/>
      <c r="NJA42" s="73"/>
      <c r="NJB42" s="73"/>
      <c r="NJC42" s="73"/>
      <c r="NJD42" s="73"/>
      <c r="NJE42" s="73"/>
      <c r="NJF42" s="73"/>
      <c r="NJG42" s="73"/>
      <c r="NJH42" s="73"/>
      <c r="NJI42" s="73"/>
      <c r="NJJ42" s="73"/>
      <c r="NJK42" s="73"/>
      <c r="NJL42" s="73"/>
      <c r="NJM42" s="73"/>
      <c r="NJN42" s="73"/>
      <c r="NJO42" s="73"/>
      <c r="NJP42" s="73"/>
      <c r="NJQ42" s="73"/>
      <c r="NJR42" s="73"/>
      <c r="NJS42" s="73"/>
      <c r="NJT42" s="73"/>
      <c r="NJU42" s="73"/>
      <c r="NJV42" s="73"/>
      <c r="NJW42" s="73"/>
      <c r="NJX42" s="73"/>
      <c r="NJY42" s="73"/>
      <c r="NJZ42" s="73"/>
      <c r="NKA42" s="73"/>
      <c r="NKB42" s="73"/>
      <c r="NKC42" s="73"/>
      <c r="NKD42" s="73"/>
      <c r="NKE42" s="73"/>
      <c r="NKF42" s="73"/>
      <c r="NKG42" s="73"/>
      <c r="NKH42" s="73"/>
      <c r="NKI42" s="73"/>
      <c r="NKJ42" s="73"/>
      <c r="NKK42" s="73"/>
      <c r="NKL42" s="73"/>
      <c r="NKM42" s="73"/>
      <c r="NKN42" s="73"/>
      <c r="NKO42" s="73"/>
      <c r="NKP42" s="73"/>
      <c r="NKQ42" s="73"/>
      <c r="NKR42" s="73"/>
      <c r="NKS42" s="73"/>
      <c r="NKT42" s="73"/>
      <c r="NKU42" s="73"/>
      <c r="NKV42" s="73"/>
      <c r="NKW42" s="73"/>
      <c r="NKX42" s="73"/>
      <c r="NKY42" s="73"/>
      <c r="NKZ42" s="73"/>
      <c r="NLA42" s="73"/>
      <c r="NLB42" s="73"/>
      <c r="NLC42" s="73"/>
      <c r="NLD42" s="73"/>
      <c r="NLE42" s="73"/>
      <c r="NLF42" s="73"/>
      <c r="NLG42" s="73"/>
      <c r="NLH42" s="73"/>
      <c r="NLI42" s="73"/>
      <c r="NLJ42" s="73"/>
      <c r="NLK42" s="73"/>
      <c r="NLL42" s="73"/>
      <c r="NLM42" s="73"/>
      <c r="NLN42" s="73"/>
      <c r="NLO42" s="73"/>
      <c r="NLP42" s="73"/>
      <c r="NLQ42" s="73"/>
      <c r="NLR42" s="73"/>
      <c r="NLS42" s="73"/>
      <c r="NLT42" s="73"/>
      <c r="NLU42" s="73"/>
      <c r="NLV42" s="73"/>
      <c r="NLW42" s="73"/>
      <c r="NLX42" s="73"/>
      <c r="NLY42" s="73"/>
      <c r="NLZ42" s="73"/>
      <c r="NMA42" s="73"/>
      <c r="NMB42" s="73"/>
      <c r="NMC42" s="73"/>
      <c r="NMD42" s="73"/>
      <c r="NME42" s="73"/>
      <c r="NMF42" s="73"/>
      <c r="NMG42" s="73"/>
      <c r="NMH42" s="73"/>
      <c r="NMI42" s="73"/>
      <c r="NMJ42" s="73"/>
      <c r="NMK42" s="73"/>
      <c r="NML42" s="73"/>
      <c r="NMM42" s="73"/>
      <c r="NMN42" s="73"/>
      <c r="NMO42" s="73"/>
      <c r="NMP42" s="73"/>
      <c r="NMQ42" s="73"/>
      <c r="NMR42" s="73"/>
      <c r="NMS42" s="73"/>
      <c r="NMT42" s="73"/>
      <c r="NMU42" s="73"/>
      <c r="NMV42" s="73"/>
      <c r="NMW42" s="73"/>
      <c r="NMX42" s="73"/>
      <c r="NMY42" s="73"/>
      <c r="NMZ42" s="73"/>
      <c r="NNA42" s="73"/>
      <c r="NNB42" s="73"/>
      <c r="NNC42" s="73"/>
      <c r="NND42" s="73"/>
      <c r="NNE42" s="73"/>
      <c r="NNF42" s="73"/>
      <c r="NNG42" s="73"/>
      <c r="NNH42" s="73"/>
      <c r="NNI42" s="73"/>
      <c r="NNJ42" s="73"/>
      <c r="NNK42" s="73"/>
      <c r="NNL42" s="73"/>
      <c r="NNM42" s="73"/>
      <c r="NNN42" s="73"/>
      <c r="NNO42" s="73"/>
      <c r="NNP42" s="73"/>
      <c r="NNQ42" s="73"/>
      <c r="NNR42" s="73"/>
      <c r="NNS42" s="73"/>
      <c r="NNT42" s="73"/>
      <c r="NNU42" s="73"/>
      <c r="NNV42" s="73"/>
      <c r="NNW42" s="73"/>
      <c r="NNX42" s="73"/>
      <c r="NNY42" s="73"/>
      <c r="NNZ42" s="73"/>
      <c r="NOA42" s="73"/>
      <c r="NOB42" s="73"/>
      <c r="NOC42" s="73"/>
      <c r="NOD42" s="73"/>
      <c r="NOE42" s="73"/>
      <c r="NOF42" s="73"/>
      <c r="NOG42" s="73"/>
      <c r="NOH42" s="73"/>
      <c r="NOI42" s="73"/>
      <c r="NOJ42" s="73"/>
      <c r="NOK42" s="73"/>
      <c r="NOL42" s="73"/>
      <c r="NOM42" s="73"/>
      <c r="NON42" s="73"/>
      <c r="NOO42" s="73"/>
      <c r="NOP42" s="73"/>
      <c r="NOQ42" s="73"/>
      <c r="NOR42" s="73"/>
      <c r="NOS42" s="73"/>
      <c r="NOT42" s="73"/>
      <c r="NOU42" s="73"/>
      <c r="NOV42" s="73"/>
      <c r="NOW42" s="73"/>
      <c r="NOX42" s="73"/>
      <c r="NOY42" s="73"/>
      <c r="NOZ42" s="73"/>
      <c r="NPA42" s="73"/>
      <c r="NPB42" s="73"/>
      <c r="NPC42" s="73"/>
      <c r="NPD42" s="73"/>
      <c r="NPE42" s="73"/>
      <c r="NPF42" s="73"/>
      <c r="NPG42" s="73"/>
      <c r="NPH42" s="73"/>
      <c r="NPI42" s="73"/>
      <c r="NPJ42" s="73"/>
      <c r="NPK42" s="73"/>
      <c r="NPL42" s="73"/>
      <c r="NPM42" s="73"/>
      <c r="NPN42" s="73"/>
      <c r="NPO42" s="73"/>
      <c r="NPP42" s="73"/>
      <c r="NPQ42" s="73"/>
      <c r="NPR42" s="73"/>
      <c r="NPS42" s="73"/>
      <c r="NPT42" s="73"/>
      <c r="NPU42" s="73"/>
      <c r="NPV42" s="73"/>
      <c r="NPW42" s="73"/>
      <c r="NPX42" s="73"/>
      <c r="NPY42" s="73"/>
      <c r="NPZ42" s="73"/>
      <c r="NQA42" s="73"/>
      <c r="NQB42" s="73"/>
      <c r="NQC42" s="73"/>
      <c r="NQD42" s="73"/>
      <c r="NQE42" s="73"/>
      <c r="NQF42" s="73"/>
      <c r="NQG42" s="73"/>
      <c r="NQH42" s="73"/>
      <c r="NQI42" s="73"/>
      <c r="NQJ42" s="73"/>
      <c r="NQK42" s="73"/>
      <c r="NQL42" s="73"/>
      <c r="NQM42" s="73"/>
      <c r="NQN42" s="73"/>
      <c r="NQO42" s="73"/>
      <c r="NQP42" s="73"/>
      <c r="NQQ42" s="73"/>
      <c r="NQR42" s="73"/>
      <c r="NQS42" s="73"/>
      <c r="NQT42" s="73"/>
      <c r="NQU42" s="73"/>
      <c r="NQV42" s="73"/>
      <c r="NQW42" s="73"/>
      <c r="NQX42" s="73"/>
      <c r="NQY42" s="73"/>
      <c r="NQZ42" s="73"/>
      <c r="NRA42" s="73"/>
      <c r="NRB42" s="73"/>
      <c r="NRC42" s="73"/>
      <c r="NRD42" s="73"/>
      <c r="NRE42" s="73"/>
      <c r="NRF42" s="73"/>
      <c r="NRG42" s="73"/>
      <c r="NRH42" s="73"/>
      <c r="NRI42" s="73"/>
      <c r="NRJ42" s="73"/>
      <c r="NRK42" s="73"/>
      <c r="NRL42" s="73"/>
      <c r="NRM42" s="73"/>
      <c r="NRN42" s="73"/>
      <c r="NRO42" s="73"/>
      <c r="NRP42" s="73"/>
      <c r="NRQ42" s="73"/>
      <c r="NRR42" s="73"/>
      <c r="NRS42" s="73"/>
      <c r="NRT42" s="73"/>
      <c r="NRU42" s="73"/>
      <c r="NRV42" s="73"/>
      <c r="NRW42" s="73"/>
      <c r="NRX42" s="73"/>
      <c r="NRY42" s="73"/>
      <c r="NRZ42" s="73"/>
      <c r="NSA42" s="73"/>
      <c r="NSB42" s="73"/>
      <c r="NSC42" s="73"/>
      <c r="NSD42" s="73"/>
      <c r="NSE42" s="73"/>
      <c r="NSF42" s="73"/>
      <c r="NSG42" s="73"/>
      <c r="NSH42" s="73"/>
      <c r="NSI42" s="73"/>
      <c r="NSJ42" s="73"/>
      <c r="NSK42" s="73"/>
      <c r="NSL42" s="73"/>
      <c r="NSM42" s="73"/>
      <c r="NSN42" s="73"/>
      <c r="NSO42" s="73"/>
      <c r="NSP42" s="73"/>
      <c r="NSQ42" s="73"/>
      <c r="NSR42" s="73"/>
      <c r="NSS42" s="73"/>
      <c r="NST42" s="73"/>
      <c r="NSU42" s="73"/>
      <c r="NSV42" s="73"/>
      <c r="NSW42" s="73"/>
      <c r="NSX42" s="73"/>
      <c r="NSY42" s="73"/>
      <c r="NSZ42" s="73"/>
      <c r="NTA42" s="73"/>
      <c r="NTB42" s="73"/>
      <c r="NTC42" s="73"/>
      <c r="NTD42" s="73"/>
      <c r="NTE42" s="73"/>
      <c r="NTF42" s="73"/>
      <c r="NTG42" s="73"/>
      <c r="NTH42" s="73"/>
      <c r="NTI42" s="73"/>
      <c r="NTJ42" s="73"/>
      <c r="NTK42" s="73"/>
      <c r="NTL42" s="73"/>
      <c r="NTM42" s="73"/>
      <c r="NTN42" s="73"/>
      <c r="NTO42" s="73"/>
      <c r="NTP42" s="73"/>
      <c r="NTQ42" s="73"/>
      <c r="NTR42" s="73"/>
      <c r="NTS42" s="73"/>
      <c r="NTT42" s="73"/>
      <c r="NTU42" s="73"/>
      <c r="NTV42" s="73"/>
      <c r="NTW42" s="73"/>
      <c r="NTX42" s="73"/>
      <c r="NTY42" s="73"/>
      <c r="NTZ42" s="73"/>
      <c r="NUA42" s="73"/>
      <c r="NUB42" s="73"/>
      <c r="NUC42" s="73"/>
      <c r="NUD42" s="73"/>
      <c r="NUE42" s="73"/>
      <c r="NUF42" s="73"/>
      <c r="NUG42" s="73"/>
      <c r="NUH42" s="73"/>
      <c r="NUI42" s="73"/>
      <c r="NUJ42" s="73"/>
      <c r="NUK42" s="73"/>
      <c r="NUL42" s="73"/>
      <c r="NUM42" s="73"/>
      <c r="NUN42" s="73"/>
      <c r="NUO42" s="73"/>
      <c r="NUP42" s="73"/>
      <c r="NUQ42" s="73"/>
      <c r="NUR42" s="73"/>
      <c r="NUS42" s="73"/>
      <c r="NUT42" s="73"/>
      <c r="NUU42" s="73"/>
      <c r="NUV42" s="73"/>
      <c r="NUW42" s="73"/>
      <c r="NUX42" s="73"/>
      <c r="NUY42" s="73"/>
      <c r="NUZ42" s="73"/>
      <c r="NVA42" s="73"/>
      <c r="NVB42" s="73"/>
      <c r="NVC42" s="73"/>
      <c r="NVD42" s="73"/>
      <c r="NVE42" s="73"/>
      <c r="NVF42" s="73"/>
      <c r="NVG42" s="73"/>
      <c r="NVH42" s="73"/>
      <c r="NVI42" s="73"/>
      <c r="NVJ42" s="73"/>
      <c r="NVK42" s="73"/>
      <c r="NVL42" s="73"/>
      <c r="NVM42" s="73"/>
      <c r="NVN42" s="73"/>
      <c r="NVO42" s="73"/>
      <c r="NVP42" s="73"/>
      <c r="NVQ42" s="73"/>
      <c r="NVR42" s="73"/>
      <c r="NVS42" s="73"/>
      <c r="NVT42" s="73"/>
      <c r="NVU42" s="73"/>
      <c r="NVV42" s="73"/>
      <c r="NVW42" s="73"/>
      <c r="NVX42" s="73"/>
      <c r="NVY42" s="73"/>
      <c r="NVZ42" s="73"/>
      <c r="NWA42" s="73"/>
      <c r="NWB42" s="73"/>
      <c r="NWC42" s="73"/>
      <c r="NWD42" s="73"/>
      <c r="NWE42" s="73"/>
      <c r="NWF42" s="73"/>
      <c r="NWG42" s="73"/>
      <c r="NWH42" s="73"/>
      <c r="NWI42" s="73"/>
      <c r="NWJ42" s="73"/>
      <c r="NWK42" s="73"/>
      <c r="NWL42" s="73"/>
      <c r="NWM42" s="73"/>
      <c r="NWN42" s="73"/>
      <c r="NWO42" s="73"/>
      <c r="NWP42" s="73"/>
      <c r="NWQ42" s="73"/>
      <c r="NWR42" s="73"/>
      <c r="NWS42" s="73"/>
      <c r="NWT42" s="73"/>
      <c r="NWU42" s="73"/>
      <c r="NWV42" s="73"/>
      <c r="NWW42" s="73"/>
      <c r="NWX42" s="73"/>
      <c r="NWY42" s="73"/>
      <c r="NWZ42" s="73"/>
      <c r="NXA42" s="73"/>
      <c r="NXB42" s="73"/>
      <c r="NXC42" s="73"/>
      <c r="NXD42" s="73"/>
      <c r="NXE42" s="73"/>
      <c r="NXF42" s="73"/>
      <c r="NXG42" s="73"/>
      <c r="NXH42" s="73"/>
      <c r="NXI42" s="73"/>
      <c r="NXJ42" s="73"/>
      <c r="NXK42" s="73"/>
      <c r="NXL42" s="73"/>
      <c r="NXM42" s="73"/>
      <c r="NXN42" s="73"/>
      <c r="NXO42" s="73"/>
      <c r="NXP42" s="73"/>
      <c r="NXQ42" s="73"/>
      <c r="NXR42" s="73"/>
      <c r="NXS42" s="73"/>
      <c r="NXT42" s="73"/>
      <c r="NXU42" s="73"/>
      <c r="NXV42" s="73"/>
      <c r="NXW42" s="73"/>
      <c r="NXX42" s="73"/>
      <c r="NXY42" s="73"/>
      <c r="NXZ42" s="73"/>
      <c r="NYA42" s="73"/>
      <c r="NYB42" s="73"/>
      <c r="NYC42" s="73"/>
      <c r="NYD42" s="73"/>
      <c r="NYE42" s="73"/>
      <c r="NYF42" s="73"/>
      <c r="NYG42" s="73"/>
      <c r="NYH42" s="73"/>
      <c r="NYI42" s="73"/>
      <c r="NYJ42" s="73"/>
      <c r="NYK42" s="73"/>
      <c r="NYL42" s="73"/>
      <c r="NYM42" s="73"/>
      <c r="NYN42" s="73"/>
      <c r="NYO42" s="73"/>
      <c r="NYP42" s="73"/>
      <c r="NYQ42" s="73"/>
      <c r="NYR42" s="73"/>
      <c r="NYS42" s="73"/>
      <c r="NYT42" s="73"/>
      <c r="NYU42" s="73"/>
      <c r="NYV42" s="73"/>
      <c r="NYW42" s="73"/>
      <c r="NYX42" s="73"/>
      <c r="NYY42" s="73"/>
      <c r="NYZ42" s="73"/>
      <c r="NZA42" s="73"/>
      <c r="NZB42" s="73"/>
      <c r="NZC42" s="73"/>
      <c r="NZD42" s="73"/>
      <c r="NZE42" s="73"/>
      <c r="NZF42" s="73"/>
      <c r="NZG42" s="73"/>
      <c r="NZH42" s="73"/>
      <c r="NZI42" s="73"/>
      <c r="NZJ42" s="73"/>
      <c r="NZK42" s="73"/>
      <c r="NZL42" s="73"/>
      <c r="NZM42" s="73"/>
      <c r="NZN42" s="73"/>
      <c r="NZO42" s="73"/>
      <c r="NZP42" s="73"/>
      <c r="NZQ42" s="73"/>
      <c r="NZR42" s="73"/>
      <c r="NZS42" s="73"/>
      <c r="NZT42" s="73"/>
      <c r="NZU42" s="73"/>
      <c r="NZV42" s="73"/>
      <c r="NZW42" s="73"/>
      <c r="NZX42" s="73"/>
      <c r="NZY42" s="73"/>
      <c r="NZZ42" s="73"/>
      <c r="OAA42" s="73"/>
      <c r="OAB42" s="73"/>
      <c r="OAC42" s="73"/>
      <c r="OAD42" s="73"/>
      <c r="OAE42" s="73"/>
      <c r="OAF42" s="73"/>
      <c r="OAG42" s="73"/>
      <c r="OAH42" s="73"/>
      <c r="OAI42" s="73"/>
      <c r="OAJ42" s="73"/>
      <c r="OAK42" s="73"/>
      <c r="OAL42" s="73"/>
      <c r="OAM42" s="73"/>
      <c r="OAN42" s="73"/>
      <c r="OAO42" s="73"/>
      <c r="OAP42" s="73"/>
      <c r="OAQ42" s="73"/>
      <c r="OAR42" s="73"/>
      <c r="OAS42" s="73"/>
      <c r="OAT42" s="73"/>
      <c r="OAU42" s="73"/>
      <c r="OAV42" s="73"/>
      <c r="OAW42" s="73"/>
      <c r="OAX42" s="73"/>
      <c r="OAY42" s="73"/>
      <c r="OAZ42" s="73"/>
      <c r="OBA42" s="73"/>
      <c r="OBB42" s="73"/>
      <c r="OBC42" s="73"/>
      <c r="OBD42" s="73"/>
      <c r="OBE42" s="73"/>
      <c r="OBF42" s="73"/>
      <c r="OBG42" s="73"/>
      <c r="OBH42" s="73"/>
      <c r="OBI42" s="73"/>
      <c r="OBJ42" s="73"/>
      <c r="OBK42" s="73"/>
      <c r="OBL42" s="73"/>
      <c r="OBM42" s="73"/>
      <c r="OBN42" s="73"/>
      <c r="OBO42" s="73"/>
      <c r="OBP42" s="73"/>
      <c r="OBQ42" s="73"/>
      <c r="OBR42" s="73"/>
      <c r="OBS42" s="73"/>
      <c r="OBT42" s="73"/>
      <c r="OBU42" s="73"/>
      <c r="OBV42" s="73"/>
      <c r="OBW42" s="73"/>
      <c r="OBX42" s="73"/>
      <c r="OBY42" s="73"/>
      <c r="OBZ42" s="73"/>
      <c r="OCA42" s="73"/>
      <c r="OCB42" s="73"/>
      <c r="OCC42" s="73"/>
      <c r="OCD42" s="73"/>
      <c r="OCE42" s="73"/>
      <c r="OCF42" s="73"/>
      <c r="OCG42" s="73"/>
      <c r="OCH42" s="73"/>
      <c r="OCI42" s="73"/>
      <c r="OCJ42" s="73"/>
      <c r="OCK42" s="73"/>
      <c r="OCL42" s="73"/>
      <c r="OCM42" s="73"/>
      <c r="OCN42" s="73"/>
      <c r="OCO42" s="73"/>
      <c r="OCP42" s="73"/>
      <c r="OCQ42" s="73"/>
      <c r="OCR42" s="73"/>
      <c r="OCS42" s="73"/>
      <c r="OCT42" s="73"/>
      <c r="OCU42" s="73"/>
      <c r="OCV42" s="73"/>
      <c r="OCW42" s="73"/>
      <c r="OCX42" s="73"/>
      <c r="OCY42" s="73"/>
      <c r="OCZ42" s="73"/>
      <c r="ODA42" s="73"/>
      <c r="ODB42" s="73"/>
      <c r="ODC42" s="73"/>
      <c r="ODD42" s="73"/>
      <c r="ODE42" s="73"/>
      <c r="ODF42" s="73"/>
      <c r="ODG42" s="73"/>
      <c r="ODH42" s="73"/>
      <c r="ODI42" s="73"/>
      <c r="ODJ42" s="73"/>
      <c r="ODK42" s="73"/>
      <c r="ODL42" s="73"/>
      <c r="ODM42" s="73"/>
      <c r="ODN42" s="73"/>
      <c r="ODO42" s="73"/>
      <c r="ODP42" s="73"/>
      <c r="ODQ42" s="73"/>
      <c r="ODR42" s="73"/>
      <c r="ODS42" s="73"/>
      <c r="ODT42" s="73"/>
      <c r="ODU42" s="73"/>
      <c r="ODV42" s="73"/>
      <c r="ODW42" s="73"/>
      <c r="ODX42" s="73"/>
      <c r="ODY42" s="73"/>
      <c r="ODZ42" s="73"/>
      <c r="OEA42" s="73"/>
      <c r="OEB42" s="73"/>
      <c r="OEC42" s="73"/>
      <c r="OED42" s="73"/>
      <c r="OEE42" s="73"/>
      <c r="OEF42" s="73"/>
      <c r="OEG42" s="73"/>
      <c r="OEH42" s="73"/>
      <c r="OEI42" s="73"/>
      <c r="OEJ42" s="73"/>
      <c r="OEK42" s="73"/>
      <c r="OEL42" s="73"/>
      <c r="OEM42" s="73"/>
      <c r="OEN42" s="73"/>
      <c r="OEO42" s="73"/>
      <c r="OEP42" s="73"/>
      <c r="OEQ42" s="73"/>
      <c r="OER42" s="73"/>
      <c r="OES42" s="73"/>
      <c r="OET42" s="73"/>
      <c r="OEU42" s="73"/>
      <c r="OEV42" s="73"/>
      <c r="OEW42" s="73"/>
      <c r="OEX42" s="73"/>
      <c r="OEY42" s="73"/>
      <c r="OEZ42" s="73"/>
      <c r="OFA42" s="73"/>
      <c r="OFB42" s="73"/>
      <c r="OFC42" s="73"/>
      <c r="OFD42" s="73"/>
      <c r="OFE42" s="73"/>
      <c r="OFF42" s="73"/>
      <c r="OFG42" s="73"/>
      <c r="OFH42" s="73"/>
      <c r="OFI42" s="73"/>
      <c r="OFJ42" s="73"/>
      <c r="OFK42" s="73"/>
      <c r="OFL42" s="73"/>
      <c r="OFM42" s="73"/>
      <c r="OFN42" s="73"/>
      <c r="OFO42" s="73"/>
      <c r="OFP42" s="73"/>
      <c r="OFQ42" s="73"/>
      <c r="OFR42" s="73"/>
      <c r="OFS42" s="73"/>
      <c r="OFT42" s="73"/>
      <c r="OFU42" s="73"/>
      <c r="OFV42" s="73"/>
      <c r="OFW42" s="73"/>
      <c r="OFX42" s="73"/>
      <c r="OFY42" s="73"/>
      <c r="OFZ42" s="73"/>
      <c r="OGA42" s="73"/>
      <c r="OGB42" s="73"/>
      <c r="OGC42" s="73"/>
      <c r="OGD42" s="73"/>
      <c r="OGE42" s="73"/>
      <c r="OGF42" s="73"/>
      <c r="OGG42" s="73"/>
      <c r="OGH42" s="73"/>
      <c r="OGI42" s="73"/>
      <c r="OGJ42" s="73"/>
      <c r="OGK42" s="73"/>
      <c r="OGL42" s="73"/>
      <c r="OGM42" s="73"/>
      <c r="OGN42" s="73"/>
      <c r="OGO42" s="73"/>
      <c r="OGP42" s="73"/>
      <c r="OGQ42" s="73"/>
      <c r="OGR42" s="73"/>
      <c r="OGS42" s="73"/>
      <c r="OGT42" s="73"/>
      <c r="OGU42" s="73"/>
      <c r="OGV42" s="73"/>
      <c r="OGW42" s="73"/>
      <c r="OGX42" s="73"/>
      <c r="OGY42" s="73"/>
      <c r="OGZ42" s="73"/>
      <c r="OHA42" s="73"/>
      <c r="OHB42" s="73"/>
      <c r="OHC42" s="73"/>
      <c r="OHD42" s="73"/>
      <c r="OHE42" s="73"/>
      <c r="OHF42" s="73"/>
      <c r="OHG42" s="73"/>
      <c r="OHH42" s="73"/>
      <c r="OHI42" s="73"/>
      <c r="OHJ42" s="73"/>
      <c r="OHK42" s="73"/>
      <c r="OHL42" s="73"/>
      <c r="OHM42" s="73"/>
      <c r="OHN42" s="73"/>
      <c r="OHO42" s="73"/>
      <c r="OHP42" s="73"/>
      <c r="OHQ42" s="73"/>
      <c r="OHR42" s="73"/>
      <c r="OHS42" s="73"/>
      <c r="OHT42" s="73"/>
      <c r="OHU42" s="73"/>
      <c r="OHV42" s="73"/>
      <c r="OHW42" s="73"/>
      <c r="OHX42" s="73"/>
      <c r="OHY42" s="73"/>
      <c r="OHZ42" s="73"/>
      <c r="OIA42" s="73"/>
      <c r="OIB42" s="73"/>
      <c r="OIC42" s="73"/>
      <c r="OID42" s="73"/>
      <c r="OIE42" s="73"/>
      <c r="OIF42" s="73"/>
      <c r="OIG42" s="73"/>
      <c r="OIH42" s="73"/>
      <c r="OII42" s="73"/>
      <c r="OIJ42" s="73"/>
      <c r="OIK42" s="73"/>
      <c r="OIL42" s="73"/>
      <c r="OIM42" s="73"/>
      <c r="OIN42" s="73"/>
      <c r="OIO42" s="73"/>
      <c r="OIP42" s="73"/>
      <c r="OIQ42" s="73"/>
      <c r="OIR42" s="73"/>
      <c r="OIS42" s="73"/>
      <c r="OIT42" s="73"/>
      <c r="OIU42" s="73"/>
      <c r="OIV42" s="73"/>
      <c r="OIW42" s="73"/>
      <c r="OIX42" s="73"/>
      <c r="OIY42" s="73"/>
      <c r="OIZ42" s="73"/>
      <c r="OJA42" s="73"/>
      <c r="OJB42" s="73"/>
      <c r="OJC42" s="73"/>
      <c r="OJD42" s="73"/>
      <c r="OJE42" s="73"/>
      <c r="OJF42" s="73"/>
      <c r="OJG42" s="73"/>
      <c r="OJH42" s="73"/>
      <c r="OJI42" s="73"/>
      <c r="OJJ42" s="73"/>
      <c r="OJK42" s="73"/>
      <c r="OJL42" s="73"/>
      <c r="OJM42" s="73"/>
      <c r="OJN42" s="73"/>
      <c r="OJO42" s="73"/>
      <c r="OJP42" s="73"/>
      <c r="OJQ42" s="73"/>
      <c r="OJR42" s="73"/>
      <c r="OJS42" s="73"/>
      <c r="OJT42" s="73"/>
      <c r="OJU42" s="73"/>
      <c r="OJV42" s="73"/>
      <c r="OJW42" s="73"/>
      <c r="OJX42" s="73"/>
      <c r="OJY42" s="73"/>
      <c r="OJZ42" s="73"/>
      <c r="OKA42" s="73"/>
      <c r="OKB42" s="73"/>
      <c r="OKC42" s="73"/>
      <c r="OKD42" s="73"/>
      <c r="OKE42" s="73"/>
      <c r="OKF42" s="73"/>
      <c r="OKG42" s="73"/>
      <c r="OKH42" s="73"/>
      <c r="OKI42" s="73"/>
      <c r="OKJ42" s="73"/>
      <c r="OKK42" s="73"/>
      <c r="OKL42" s="73"/>
      <c r="OKM42" s="73"/>
      <c r="OKN42" s="73"/>
      <c r="OKO42" s="73"/>
      <c r="OKP42" s="73"/>
      <c r="OKQ42" s="73"/>
      <c r="OKR42" s="73"/>
      <c r="OKS42" s="73"/>
      <c r="OKT42" s="73"/>
      <c r="OKU42" s="73"/>
      <c r="OKV42" s="73"/>
      <c r="OKW42" s="73"/>
      <c r="OKX42" s="73"/>
      <c r="OKY42" s="73"/>
      <c r="OKZ42" s="73"/>
      <c r="OLA42" s="73"/>
      <c r="OLB42" s="73"/>
      <c r="OLC42" s="73"/>
      <c r="OLD42" s="73"/>
      <c r="OLE42" s="73"/>
      <c r="OLF42" s="73"/>
      <c r="OLG42" s="73"/>
      <c r="OLH42" s="73"/>
      <c r="OLI42" s="73"/>
      <c r="OLJ42" s="73"/>
      <c r="OLK42" s="73"/>
      <c r="OLL42" s="73"/>
      <c r="OLM42" s="73"/>
      <c r="OLN42" s="73"/>
      <c r="OLO42" s="73"/>
      <c r="OLP42" s="73"/>
      <c r="OLQ42" s="73"/>
      <c r="OLR42" s="73"/>
      <c r="OLS42" s="73"/>
      <c r="OLT42" s="73"/>
      <c r="OLU42" s="73"/>
      <c r="OLV42" s="73"/>
      <c r="OLW42" s="73"/>
      <c r="OLX42" s="73"/>
      <c r="OLY42" s="73"/>
      <c r="OLZ42" s="73"/>
      <c r="OMA42" s="73"/>
      <c r="OMB42" s="73"/>
      <c r="OMC42" s="73"/>
      <c r="OMD42" s="73"/>
      <c r="OME42" s="73"/>
      <c r="OMF42" s="73"/>
      <c r="OMG42" s="73"/>
      <c r="OMH42" s="73"/>
      <c r="OMI42" s="73"/>
      <c r="OMJ42" s="73"/>
      <c r="OMK42" s="73"/>
      <c r="OML42" s="73"/>
      <c r="OMM42" s="73"/>
      <c r="OMN42" s="73"/>
      <c r="OMO42" s="73"/>
      <c r="OMP42" s="73"/>
      <c r="OMQ42" s="73"/>
      <c r="OMR42" s="73"/>
      <c r="OMS42" s="73"/>
      <c r="OMT42" s="73"/>
      <c r="OMU42" s="73"/>
      <c r="OMV42" s="73"/>
      <c r="OMW42" s="73"/>
      <c r="OMX42" s="73"/>
      <c r="OMY42" s="73"/>
      <c r="OMZ42" s="73"/>
      <c r="ONA42" s="73"/>
      <c r="ONB42" s="73"/>
      <c r="ONC42" s="73"/>
      <c r="OND42" s="73"/>
      <c r="ONE42" s="73"/>
      <c r="ONF42" s="73"/>
      <c r="ONG42" s="73"/>
      <c r="ONH42" s="73"/>
      <c r="ONI42" s="73"/>
      <c r="ONJ42" s="73"/>
      <c r="ONK42" s="73"/>
      <c r="ONL42" s="73"/>
      <c r="ONM42" s="73"/>
      <c r="ONN42" s="73"/>
      <c r="ONO42" s="73"/>
      <c r="ONP42" s="73"/>
      <c r="ONQ42" s="73"/>
      <c r="ONR42" s="73"/>
      <c r="ONS42" s="73"/>
      <c r="ONT42" s="73"/>
      <c r="ONU42" s="73"/>
      <c r="ONV42" s="73"/>
      <c r="ONW42" s="73"/>
      <c r="ONX42" s="73"/>
      <c r="ONY42" s="73"/>
      <c r="ONZ42" s="73"/>
      <c r="OOA42" s="73"/>
      <c r="OOB42" s="73"/>
      <c r="OOC42" s="73"/>
      <c r="OOD42" s="73"/>
      <c r="OOE42" s="73"/>
      <c r="OOF42" s="73"/>
      <c r="OOG42" s="73"/>
      <c r="OOH42" s="73"/>
      <c r="OOI42" s="73"/>
      <c r="OOJ42" s="73"/>
      <c r="OOK42" s="73"/>
      <c r="OOL42" s="73"/>
      <c r="OOM42" s="73"/>
      <c r="OON42" s="73"/>
      <c r="OOO42" s="73"/>
      <c r="OOP42" s="73"/>
      <c r="OOQ42" s="73"/>
      <c r="OOR42" s="73"/>
      <c r="OOS42" s="73"/>
      <c r="OOT42" s="73"/>
      <c r="OOU42" s="73"/>
      <c r="OOV42" s="73"/>
      <c r="OOW42" s="73"/>
      <c r="OOX42" s="73"/>
      <c r="OOY42" s="73"/>
      <c r="OOZ42" s="73"/>
      <c r="OPA42" s="73"/>
      <c r="OPB42" s="73"/>
      <c r="OPC42" s="73"/>
      <c r="OPD42" s="73"/>
      <c r="OPE42" s="73"/>
      <c r="OPF42" s="73"/>
      <c r="OPG42" s="73"/>
      <c r="OPH42" s="73"/>
      <c r="OPI42" s="73"/>
      <c r="OPJ42" s="73"/>
      <c r="OPK42" s="73"/>
      <c r="OPL42" s="73"/>
      <c r="OPM42" s="73"/>
      <c r="OPN42" s="73"/>
      <c r="OPO42" s="73"/>
      <c r="OPP42" s="73"/>
      <c r="OPQ42" s="73"/>
      <c r="OPR42" s="73"/>
      <c r="OPS42" s="73"/>
      <c r="OPT42" s="73"/>
      <c r="OPU42" s="73"/>
      <c r="OPV42" s="73"/>
      <c r="OPW42" s="73"/>
      <c r="OPX42" s="73"/>
      <c r="OPY42" s="73"/>
      <c r="OPZ42" s="73"/>
      <c r="OQA42" s="73"/>
      <c r="OQB42" s="73"/>
      <c r="OQC42" s="73"/>
      <c r="OQD42" s="73"/>
      <c r="OQE42" s="73"/>
      <c r="OQF42" s="73"/>
      <c r="OQG42" s="73"/>
      <c r="OQH42" s="73"/>
      <c r="OQI42" s="73"/>
      <c r="OQJ42" s="73"/>
      <c r="OQK42" s="73"/>
      <c r="OQL42" s="73"/>
      <c r="OQM42" s="73"/>
      <c r="OQN42" s="73"/>
      <c r="OQO42" s="73"/>
      <c r="OQP42" s="73"/>
      <c r="OQQ42" s="73"/>
      <c r="OQR42" s="73"/>
      <c r="OQS42" s="73"/>
      <c r="OQT42" s="73"/>
      <c r="OQU42" s="73"/>
      <c r="OQV42" s="73"/>
      <c r="OQW42" s="73"/>
      <c r="OQX42" s="73"/>
      <c r="OQY42" s="73"/>
      <c r="OQZ42" s="73"/>
      <c r="ORA42" s="73"/>
      <c r="ORB42" s="73"/>
      <c r="ORC42" s="73"/>
      <c r="ORD42" s="73"/>
      <c r="ORE42" s="73"/>
      <c r="ORF42" s="73"/>
      <c r="ORG42" s="73"/>
      <c r="ORH42" s="73"/>
      <c r="ORI42" s="73"/>
      <c r="ORJ42" s="73"/>
      <c r="ORK42" s="73"/>
      <c r="ORL42" s="73"/>
      <c r="ORM42" s="73"/>
      <c r="ORN42" s="73"/>
      <c r="ORO42" s="73"/>
      <c r="ORP42" s="73"/>
      <c r="ORQ42" s="73"/>
      <c r="ORR42" s="73"/>
      <c r="ORS42" s="73"/>
      <c r="ORT42" s="73"/>
      <c r="ORU42" s="73"/>
      <c r="ORV42" s="73"/>
      <c r="ORW42" s="73"/>
      <c r="ORX42" s="73"/>
      <c r="ORY42" s="73"/>
      <c r="ORZ42" s="73"/>
      <c r="OSA42" s="73"/>
      <c r="OSB42" s="73"/>
      <c r="OSC42" s="73"/>
      <c r="OSD42" s="73"/>
      <c r="OSE42" s="73"/>
      <c r="OSF42" s="73"/>
      <c r="OSG42" s="73"/>
      <c r="OSH42" s="73"/>
      <c r="OSI42" s="73"/>
      <c r="OSJ42" s="73"/>
      <c r="OSK42" s="73"/>
      <c r="OSL42" s="73"/>
      <c r="OSM42" s="73"/>
      <c r="OSN42" s="73"/>
      <c r="OSO42" s="73"/>
      <c r="OSP42" s="73"/>
      <c r="OSQ42" s="73"/>
      <c r="OSR42" s="73"/>
      <c r="OSS42" s="73"/>
      <c r="OST42" s="73"/>
      <c r="OSU42" s="73"/>
      <c r="OSV42" s="73"/>
      <c r="OSW42" s="73"/>
      <c r="OSX42" s="73"/>
      <c r="OSY42" s="73"/>
      <c r="OSZ42" s="73"/>
      <c r="OTA42" s="73"/>
      <c r="OTB42" s="73"/>
      <c r="OTC42" s="73"/>
      <c r="OTD42" s="73"/>
      <c r="OTE42" s="73"/>
      <c r="OTF42" s="73"/>
      <c r="OTG42" s="73"/>
      <c r="OTH42" s="73"/>
      <c r="OTI42" s="73"/>
      <c r="OTJ42" s="73"/>
      <c r="OTK42" s="73"/>
      <c r="OTL42" s="73"/>
      <c r="OTM42" s="73"/>
      <c r="OTN42" s="73"/>
      <c r="OTO42" s="73"/>
      <c r="OTP42" s="73"/>
      <c r="OTQ42" s="73"/>
      <c r="OTR42" s="73"/>
      <c r="OTS42" s="73"/>
      <c r="OTT42" s="73"/>
      <c r="OTU42" s="73"/>
      <c r="OTV42" s="73"/>
      <c r="OTW42" s="73"/>
      <c r="OTX42" s="73"/>
      <c r="OTY42" s="73"/>
      <c r="OTZ42" s="73"/>
      <c r="OUA42" s="73"/>
      <c r="OUB42" s="73"/>
      <c r="OUC42" s="73"/>
      <c r="OUD42" s="73"/>
      <c r="OUE42" s="73"/>
      <c r="OUF42" s="73"/>
      <c r="OUG42" s="73"/>
      <c r="OUH42" s="73"/>
      <c r="OUI42" s="73"/>
      <c r="OUJ42" s="73"/>
      <c r="OUK42" s="73"/>
      <c r="OUL42" s="73"/>
      <c r="OUM42" s="73"/>
      <c r="OUN42" s="73"/>
      <c r="OUO42" s="73"/>
      <c r="OUP42" s="73"/>
      <c r="OUQ42" s="73"/>
      <c r="OUR42" s="73"/>
      <c r="OUS42" s="73"/>
      <c r="OUT42" s="73"/>
      <c r="OUU42" s="73"/>
      <c r="OUV42" s="73"/>
      <c r="OUW42" s="73"/>
      <c r="OUX42" s="73"/>
      <c r="OUY42" s="73"/>
      <c r="OUZ42" s="73"/>
      <c r="OVA42" s="73"/>
      <c r="OVB42" s="73"/>
      <c r="OVC42" s="73"/>
      <c r="OVD42" s="73"/>
      <c r="OVE42" s="73"/>
      <c r="OVF42" s="73"/>
      <c r="OVG42" s="73"/>
      <c r="OVH42" s="73"/>
      <c r="OVI42" s="73"/>
      <c r="OVJ42" s="73"/>
      <c r="OVK42" s="73"/>
      <c r="OVL42" s="73"/>
      <c r="OVM42" s="73"/>
      <c r="OVN42" s="73"/>
      <c r="OVO42" s="73"/>
      <c r="OVP42" s="73"/>
      <c r="OVQ42" s="73"/>
      <c r="OVR42" s="73"/>
      <c r="OVS42" s="73"/>
      <c r="OVT42" s="73"/>
      <c r="OVU42" s="73"/>
      <c r="OVV42" s="73"/>
      <c r="OVW42" s="73"/>
      <c r="OVX42" s="73"/>
      <c r="OVY42" s="73"/>
      <c r="OVZ42" s="73"/>
      <c r="OWA42" s="73"/>
      <c r="OWB42" s="73"/>
      <c r="OWC42" s="73"/>
      <c r="OWD42" s="73"/>
      <c r="OWE42" s="73"/>
      <c r="OWF42" s="73"/>
      <c r="OWG42" s="73"/>
      <c r="OWH42" s="73"/>
      <c r="OWI42" s="73"/>
      <c r="OWJ42" s="73"/>
      <c r="OWK42" s="73"/>
      <c r="OWL42" s="73"/>
      <c r="OWM42" s="73"/>
      <c r="OWN42" s="73"/>
      <c r="OWO42" s="73"/>
      <c r="OWP42" s="73"/>
      <c r="OWQ42" s="73"/>
      <c r="OWR42" s="73"/>
      <c r="OWS42" s="73"/>
      <c r="OWT42" s="73"/>
      <c r="OWU42" s="73"/>
      <c r="OWV42" s="73"/>
      <c r="OWW42" s="73"/>
      <c r="OWX42" s="73"/>
      <c r="OWY42" s="73"/>
      <c r="OWZ42" s="73"/>
      <c r="OXA42" s="73"/>
      <c r="OXB42" s="73"/>
      <c r="OXC42" s="73"/>
      <c r="OXD42" s="73"/>
      <c r="OXE42" s="73"/>
      <c r="OXF42" s="73"/>
      <c r="OXG42" s="73"/>
      <c r="OXH42" s="73"/>
      <c r="OXI42" s="73"/>
      <c r="OXJ42" s="73"/>
      <c r="OXK42" s="73"/>
      <c r="OXL42" s="73"/>
      <c r="OXM42" s="73"/>
      <c r="OXN42" s="73"/>
      <c r="OXO42" s="73"/>
      <c r="OXP42" s="73"/>
      <c r="OXQ42" s="73"/>
      <c r="OXR42" s="73"/>
      <c r="OXS42" s="73"/>
      <c r="OXT42" s="73"/>
      <c r="OXU42" s="73"/>
      <c r="OXV42" s="73"/>
      <c r="OXW42" s="73"/>
      <c r="OXX42" s="73"/>
      <c r="OXY42" s="73"/>
      <c r="OXZ42" s="73"/>
      <c r="OYA42" s="73"/>
      <c r="OYB42" s="73"/>
      <c r="OYC42" s="73"/>
      <c r="OYD42" s="73"/>
      <c r="OYE42" s="73"/>
      <c r="OYF42" s="73"/>
      <c r="OYG42" s="73"/>
      <c r="OYH42" s="73"/>
      <c r="OYI42" s="73"/>
      <c r="OYJ42" s="73"/>
      <c r="OYK42" s="73"/>
      <c r="OYL42" s="73"/>
      <c r="OYM42" s="73"/>
      <c r="OYN42" s="73"/>
      <c r="OYO42" s="73"/>
      <c r="OYP42" s="73"/>
      <c r="OYQ42" s="73"/>
      <c r="OYR42" s="73"/>
      <c r="OYS42" s="73"/>
      <c r="OYT42" s="73"/>
      <c r="OYU42" s="73"/>
      <c r="OYV42" s="73"/>
      <c r="OYW42" s="73"/>
      <c r="OYX42" s="73"/>
      <c r="OYY42" s="73"/>
      <c r="OYZ42" s="73"/>
      <c r="OZA42" s="73"/>
      <c r="OZB42" s="73"/>
      <c r="OZC42" s="73"/>
      <c r="OZD42" s="73"/>
      <c r="OZE42" s="73"/>
      <c r="OZF42" s="73"/>
      <c r="OZG42" s="73"/>
      <c r="OZH42" s="73"/>
      <c r="OZI42" s="73"/>
      <c r="OZJ42" s="73"/>
      <c r="OZK42" s="73"/>
      <c r="OZL42" s="73"/>
      <c r="OZM42" s="73"/>
      <c r="OZN42" s="73"/>
      <c r="OZO42" s="73"/>
      <c r="OZP42" s="73"/>
      <c r="OZQ42" s="73"/>
      <c r="OZR42" s="73"/>
      <c r="OZS42" s="73"/>
      <c r="OZT42" s="73"/>
      <c r="OZU42" s="73"/>
      <c r="OZV42" s="73"/>
      <c r="OZW42" s="73"/>
      <c r="OZX42" s="73"/>
      <c r="OZY42" s="73"/>
      <c r="OZZ42" s="73"/>
      <c r="PAA42" s="73"/>
      <c r="PAB42" s="73"/>
      <c r="PAC42" s="73"/>
      <c r="PAD42" s="73"/>
      <c r="PAE42" s="73"/>
      <c r="PAF42" s="73"/>
      <c r="PAG42" s="73"/>
      <c r="PAH42" s="73"/>
      <c r="PAI42" s="73"/>
      <c r="PAJ42" s="73"/>
      <c r="PAK42" s="73"/>
      <c r="PAL42" s="73"/>
      <c r="PAM42" s="73"/>
      <c r="PAN42" s="73"/>
      <c r="PAO42" s="73"/>
      <c r="PAP42" s="73"/>
      <c r="PAQ42" s="73"/>
      <c r="PAR42" s="73"/>
      <c r="PAS42" s="73"/>
      <c r="PAT42" s="73"/>
      <c r="PAU42" s="73"/>
      <c r="PAV42" s="73"/>
      <c r="PAW42" s="73"/>
      <c r="PAX42" s="73"/>
      <c r="PAY42" s="73"/>
      <c r="PAZ42" s="73"/>
      <c r="PBA42" s="73"/>
      <c r="PBB42" s="73"/>
      <c r="PBC42" s="73"/>
      <c r="PBD42" s="73"/>
      <c r="PBE42" s="73"/>
      <c r="PBF42" s="73"/>
      <c r="PBG42" s="73"/>
      <c r="PBH42" s="73"/>
      <c r="PBI42" s="73"/>
      <c r="PBJ42" s="73"/>
      <c r="PBK42" s="73"/>
      <c r="PBL42" s="73"/>
      <c r="PBM42" s="73"/>
      <c r="PBN42" s="73"/>
      <c r="PBO42" s="73"/>
      <c r="PBP42" s="73"/>
      <c r="PBQ42" s="73"/>
      <c r="PBR42" s="73"/>
      <c r="PBS42" s="73"/>
      <c r="PBT42" s="73"/>
      <c r="PBU42" s="73"/>
      <c r="PBV42" s="73"/>
      <c r="PBW42" s="73"/>
      <c r="PBX42" s="73"/>
      <c r="PBY42" s="73"/>
      <c r="PBZ42" s="73"/>
      <c r="PCA42" s="73"/>
      <c r="PCB42" s="73"/>
      <c r="PCC42" s="73"/>
      <c r="PCD42" s="73"/>
      <c r="PCE42" s="73"/>
      <c r="PCF42" s="73"/>
      <c r="PCG42" s="73"/>
      <c r="PCH42" s="73"/>
      <c r="PCI42" s="73"/>
      <c r="PCJ42" s="73"/>
      <c r="PCK42" s="73"/>
      <c r="PCL42" s="73"/>
      <c r="PCM42" s="73"/>
      <c r="PCN42" s="73"/>
      <c r="PCO42" s="73"/>
      <c r="PCP42" s="73"/>
      <c r="PCQ42" s="73"/>
      <c r="PCR42" s="73"/>
      <c r="PCS42" s="73"/>
      <c r="PCT42" s="73"/>
      <c r="PCU42" s="73"/>
      <c r="PCV42" s="73"/>
      <c r="PCW42" s="73"/>
      <c r="PCX42" s="73"/>
      <c r="PCY42" s="73"/>
      <c r="PCZ42" s="73"/>
      <c r="PDA42" s="73"/>
      <c r="PDB42" s="73"/>
      <c r="PDC42" s="73"/>
      <c r="PDD42" s="73"/>
      <c r="PDE42" s="73"/>
      <c r="PDF42" s="73"/>
      <c r="PDG42" s="73"/>
      <c r="PDH42" s="73"/>
      <c r="PDI42" s="73"/>
      <c r="PDJ42" s="73"/>
      <c r="PDK42" s="73"/>
      <c r="PDL42" s="73"/>
      <c r="PDM42" s="73"/>
      <c r="PDN42" s="73"/>
      <c r="PDO42" s="73"/>
      <c r="PDP42" s="73"/>
      <c r="PDQ42" s="73"/>
      <c r="PDR42" s="73"/>
      <c r="PDS42" s="73"/>
      <c r="PDT42" s="73"/>
      <c r="PDU42" s="73"/>
      <c r="PDV42" s="73"/>
      <c r="PDW42" s="73"/>
      <c r="PDX42" s="73"/>
      <c r="PDY42" s="73"/>
      <c r="PDZ42" s="73"/>
      <c r="PEA42" s="73"/>
      <c r="PEB42" s="73"/>
      <c r="PEC42" s="73"/>
      <c r="PED42" s="73"/>
      <c r="PEE42" s="73"/>
      <c r="PEF42" s="73"/>
      <c r="PEG42" s="73"/>
      <c r="PEH42" s="73"/>
      <c r="PEI42" s="73"/>
      <c r="PEJ42" s="73"/>
      <c r="PEK42" s="73"/>
      <c r="PEL42" s="73"/>
      <c r="PEM42" s="73"/>
      <c r="PEN42" s="73"/>
      <c r="PEO42" s="73"/>
      <c r="PEP42" s="73"/>
      <c r="PEQ42" s="73"/>
      <c r="PER42" s="73"/>
      <c r="PES42" s="73"/>
      <c r="PET42" s="73"/>
      <c r="PEU42" s="73"/>
      <c r="PEV42" s="73"/>
      <c r="PEW42" s="73"/>
      <c r="PEX42" s="73"/>
      <c r="PEY42" s="73"/>
      <c r="PEZ42" s="73"/>
      <c r="PFA42" s="73"/>
      <c r="PFB42" s="73"/>
      <c r="PFC42" s="73"/>
      <c r="PFD42" s="73"/>
      <c r="PFE42" s="73"/>
      <c r="PFF42" s="73"/>
      <c r="PFG42" s="73"/>
      <c r="PFH42" s="73"/>
      <c r="PFI42" s="73"/>
      <c r="PFJ42" s="73"/>
      <c r="PFK42" s="73"/>
      <c r="PFL42" s="73"/>
      <c r="PFM42" s="73"/>
      <c r="PFN42" s="73"/>
      <c r="PFO42" s="73"/>
      <c r="PFP42" s="73"/>
      <c r="PFQ42" s="73"/>
      <c r="PFR42" s="73"/>
      <c r="PFS42" s="73"/>
      <c r="PFT42" s="73"/>
      <c r="PFU42" s="73"/>
      <c r="PFV42" s="73"/>
      <c r="PFW42" s="73"/>
      <c r="PFX42" s="73"/>
      <c r="PFY42" s="73"/>
      <c r="PFZ42" s="73"/>
      <c r="PGA42" s="73"/>
      <c r="PGB42" s="73"/>
      <c r="PGC42" s="73"/>
      <c r="PGD42" s="73"/>
      <c r="PGE42" s="73"/>
      <c r="PGF42" s="73"/>
      <c r="PGG42" s="73"/>
      <c r="PGH42" s="73"/>
      <c r="PGI42" s="73"/>
      <c r="PGJ42" s="73"/>
      <c r="PGK42" s="73"/>
      <c r="PGL42" s="73"/>
      <c r="PGM42" s="73"/>
      <c r="PGN42" s="73"/>
      <c r="PGO42" s="73"/>
      <c r="PGP42" s="73"/>
      <c r="PGQ42" s="73"/>
      <c r="PGR42" s="73"/>
      <c r="PGS42" s="73"/>
      <c r="PGT42" s="73"/>
      <c r="PGU42" s="73"/>
      <c r="PGV42" s="73"/>
      <c r="PGW42" s="73"/>
      <c r="PGX42" s="73"/>
      <c r="PGY42" s="73"/>
      <c r="PGZ42" s="73"/>
      <c r="PHA42" s="73"/>
      <c r="PHB42" s="73"/>
      <c r="PHC42" s="73"/>
      <c r="PHD42" s="73"/>
      <c r="PHE42" s="73"/>
      <c r="PHF42" s="73"/>
      <c r="PHG42" s="73"/>
      <c r="PHH42" s="73"/>
      <c r="PHI42" s="73"/>
      <c r="PHJ42" s="73"/>
      <c r="PHK42" s="73"/>
      <c r="PHL42" s="73"/>
      <c r="PHM42" s="73"/>
      <c r="PHN42" s="73"/>
      <c r="PHO42" s="73"/>
      <c r="PHP42" s="73"/>
      <c r="PHQ42" s="73"/>
      <c r="PHR42" s="73"/>
      <c r="PHS42" s="73"/>
      <c r="PHT42" s="73"/>
      <c r="PHU42" s="73"/>
      <c r="PHV42" s="73"/>
      <c r="PHW42" s="73"/>
      <c r="PHX42" s="73"/>
      <c r="PHY42" s="73"/>
      <c r="PHZ42" s="73"/>
      <c r="PIA42" s="73"/>
      <c r="PIB42" s="73"/>
      <c r="PIC42" s="73"/>
      <c r="PID42" s="73"/>
      <c r="PIE42" s="73"/>
      <c r="PIF42" s="73"/>
      <c r="PIG42" s="73"/>
      <c r="PIH42" s="73"/>
      <c r="PII42" s="73"/>
      <c r="PIJ42" s="73"/>
      <c r="PIK42" s="73"/>
      <c r="PIL42" s="73"/>
      <c r="PIM42" s="73"/>
      <c r="PIN42" s="73"/>
      <c r="PIO42" s="73"/>
      <c r="PIP42" s="73"/>
      <c r="PIQ42" s="73"/>
      <c r="PIR42" s="73"/>
      <c r="PIS42" s="73"/>
      <c r="PIT42" s="73"/>
      <c r="PIU42" s="73"/>
      <c r="PIV42" s="73"/>
      <c r="PIW42" s="73"/>
      <c r="PIX42" s="73"/>
      <c r="PIY42" s="73"/>
      <c r="PIZ42" s="73"/>
      <c r="PJA42" s="73"/>
      <c r="PJB42" s="73"/>
      <c r="PJC42" s="73"/>
      <c r="PJD42" s="73"/>
      <c r="PJE42" s="73"/>
      <c r="PJF42" s="73"/>
      <c r="PJG42" s="73"/>
      <c r="PJH42" s="73"/>
      <c r="PJI42" s="73"/>
      <c r="PJJ42" s="73"/>
      <c r="PJK42" s="73"/>
      <c r="PJL42" s="73"/>
      <c r="PJM42" s="73"/>
      <c r="PJN42" s="73"/>
      <c r="PJO42" s="73"/>
      <c r="PJP42" s="73"/>
      <c r="PJQ42" s="73"/>
      <c r="PJR42" s="73"/>
      <c r="PJS42" s="73"/>
      <c r="PJT42" s="73"/>
      <c r="PJU42" s="73"/>
      <c r="PJV42" s="73"/>
      <c r="PJW42" s="73"/>
      <c r="PJX42" s="73"/>
      <c r="PJY42" s="73"/>
      <c r="PJZ42" s="73"/>
      <c r="PKA42" s="73"/>
      <c r="PKB42" s="73"/>
      <c r="PKC42" s="73"/>
      <c r="PKD42" s="73"/>
      <c r="PKE42" s="73"/>
      <c r="PKF42" s="73"/>
      <c r="PKG42" s="73"/>
      <c r="PKH42" s="73"/>
      <c r="PKI42" s="73"/>
      <c r="PKJ42" s="73"/>
      <c r="PKK42" s="73"/>
      <c r="PKL42" s="73"/>
      <c r="PKM42" s="73"/>
      <c r="PKN42" s="73"/>
      <c r="PKO42" s="73"/>
      <c r="PKP42" s="73"/>
      <c r="PKQ42" s="73"/>
      <c r="PKR42" s="73"/>
      <c r="PKS42" s="73"/>
      <c r="PKT42" s="73"/>
      <c r="PKU42" s="73"/>
      <c r="PKV42" s="73"/>
      <c r="PKW42" s="73"/>
      <c r="PKX42" s="73"/>
      <c r="PKY42" s="73"/>
      <c r="PKZ42" s="73"/>
      <c r="PLA42" s="73"/>
      <c r="PLB42" s="73"/>
      <c r="PLC42" s="73"/>
      <c r="PLD42" s="73"/>
      <c r="PLE42" s="73"/>
      <c r="PLF42" s="73"/>
      <c r="PLG42" s="73"/>
      <c r="PLH42" s="73"/>
      <c r="PLI42" s="73"/>
      <c r="PLJ42" s="73"/>
      <c r="PLK42" s="73"/>
      <c r="PLL42" s="73"/>
      <c r="PLM42" s="73"/>
      <c r="PLN42" s="73"/>
      <c r="PLO42" s="73"/>
      <c r="PLP42" s="73"/>
      <c r="PLQ42" s="73"/>
      <c r="PLR42" s="73"/>
      <c r="PLS42" s="73"/>
      <c r="PLT42" s="73"/>
      <c r="PLU42" s="73"/>
      <c r="PLV42" s="73"/>
      <c r="PLW42" s="73"/>
      <c r="PLX42" s="73"/>
      <c r="PLY42" s="73"/>
      <c r="PLZ42" s="73"/>
      <c r="PMA42" s="73"/>
      <c r="PMB42" s="73"/>
      <c r="PMC42" s="73"/>
      <c r="PMD42" s="73"/>
      <c r="PME42" s="73"/>
      <c r="PMF42" s="73"/>
      <c r="PMG42" s="73"/>
      <c r="PMH42" s="73"/>
      <c r="PMI42" s="73"/>
      <c r="PMJ42" s="73"/>
      <c r="PMK42" s="73"/>
      <c r="PML42" s="73"/>
      <c r="PMM42" s="73"/>
      <c r="PMN42" s="73"/>
      <c r="PMO42" s="73"/>
      <c r="PMP42" s="73"/>
      <c r="PMQ42" s="73"/>
      <c r="PMR42" s="73"/>
      <c r="PMS42" s="73"/>
      <c r="PMT42" s="73"/>
      <c r="PMU42" s="73"/>
      <c r="PMV42" s="73"/>
      <c r="PMW42" s="73"/>
      <c r="PMX42" s="73"/>
      <c r="PMY42" s="73"/>
      <c r="PMZ42" s="73"/>
      <c r="PNA42" s="73"/>
      <c r="PNB42" s="73"/>
      <c r="PNC42" s="73"/>
      <c r="PND42" s="73"/>
      <c r="PNE42" s="73"/>
      <c r="PNF42" s="73"/>
      <c r="PNG42" s="73"/>
      <c r="PNH42" s="73"/>
      <c r="PNI42" s="73"/>
      <c r="PNJ42" s="73"/>
      <c r="PNK42" s="73"/>
      <c r="PNL42" s="73"/>
      <c r="PNM42" s="73"/>
      <c r="PNN42" s="73"/>
      <c r="PNO42" s="73"/>
      <c r="PNP42" s="73"/>
      <c r="PNQ42" s="73"/>
      <c r="PNR42" s="73"/>
      <c r="PNS42" s="73"/>
      <c r="PNT42" s="73"/>
      <c r="PNU42" s="73"/>
      <c r="PNV42" s="73"/>
      <c r="PNW42" s="73"/>
      <c r="PNX42" s="73"/>
      <c r="PNY42" s="73"/>
      <c r="PNZ42" s="73"/>
      <c r="POA42" s="73"/>
      <c r="POB42" s="73"/>
      <c r="POC42" s="73"/>
      <c r="POD42" s="73"/>
      <c r="POE42" s="73"/>
      <c r="POF42" s="73"/>
      <c r="POG42" s="73"/>
      <c r="POH42" s="73"/>
      <c r="POI42" s="73"/>
      <c r="POJ42" s="73"/>
      <c r="POK42" s="73"/>
      <c r="POL42" s="73"/>
      <c r="POM42" s="73"/>
      <c r="PON42" s="73"/>
      <c r="POO42" s="73"/>
      <c r="POP42" s="73"/>
      <c r="POQ42" s="73"/>
      <c r="POR42" s="73"/>
      <c r="POS42" s="73"/>
      <c r="POT42" s="73"/>
      <c r="POU42" s="73"/>
      <c r="POV42" s="73"/>
      <c r="POW42" s="73"/>
      <c r="POX42" s="73"/>
      <c r="POY42" s="73"/>
      <c r="POZ42" s="73"/>
      <c r="PPA42" s="73"/>
      <c r="PPB42" s="73"/>
      <c r="PPC42" s="73"/>
      <c r="PPD42" s="73"/>
      <c r="PPE42" s="73"/>
      <c r="PPF42" s="73"/>
      <c r="PPG42" s="73"/>
      <c r="PPH42" s="73"/>
      <c r="PPI42" s="73"/>
      <c r="PPJ42" s="73"/>
      <c r="PPK42" s="73"/>
      <c r="PPL42" s="73"/>
      <c r="PPM42" s="73"/>
      <c r="PPN42" s="73"/>
      <c r="PPO42" s="73"/>
      <c r="PPP42" s="73"/>
      <c r="PPQ42" s="73"/>
      <c r="PPR42" s="73"/>
      <c r="PPS42" s="73"/>
      <c r="PPT42" s="73"/>
      <c r="PPU42" s="73"/>
      <c r="PPV42" s="73"/>
      <c r="PPW42" s="73"/>
      <c r="PPX42" s="73"/>
      <c r="PPY42" s="73"/>
      <c r="PPZ42" s="73"/>
      <c r="PQA42" s="73"/>
      <c r="PQB42" s="73"/>
      <c r="PQC42" s="73"/>
      <c r="PQD42" s="73"/>
      <c r="PQE42" s="73"/>
      <c r="PQF42" s="73"/>
      <c r="PQG42" s="73"/>
      <c r="PQH42" s="73"/>
      <c r="PQI42" s="73"/>
      <c r="PQJ42" s="73"/>
      <c r="PQK42" s="73"/>
      <c r="PQL42" s="73"/>
      <c r="PQM42" s="73"/>
      <c r="PQN42" s="73"/>
      <c r="PQO42" s="73"/>
      <c r="PQP42" s="73"/>
      <c r="PQQ42" s="73"/>
      <c r="PQR42" s="73"/>
      <c r="PQS42" s="73"/>
      <c r="PQT42" s="73"/>
      <c r="PQU42" s="73"/>
      <c r="PQV42" s="73"/>
      <c r="PQW42" s="73"/>
      <c r="PQX42" s="73"/>
      <c r="PQY42" s="73"/>
      <c r="PQZ42" s="73"/>
      <c r="PRA42" s="73"/>
      <c r="PRB42" s="73"/>
      <c r="PRC42" s="73"/>
      <c r="PRD42" s="73"/>
      <c r="PRE42" s="73"/>
      <c r="PRF42" s="73"/>
      <c r="PRG42" s="73"/>
      <c r="PRH42" s="73"/>
      <c r="PRI42" s="73"/>
      <c r="PRJ42" s="73"/>
      <c r="PRK42" s="73"/>
      <c r="PRL42" s="73"/>
      <c r="PRM42" s="73"/>
      <c r="PRN42" s="73"/>
      <c r="PRO42" s="73"/>
      <c r="PRP42" s="73"/>
      <c r="PRQ42" s="73"/>
      <c r="PRR42" s="73"/>
      <c r="PRS42" s="73"/>
      <c r="PRT42" s="73"/>
      <c r="PRU42" s="73"/>
      <c r="PRV42" s="73"/>
      <c r="PRW42" s="73"/>
      <c r="PRX42" s="73"/>
      <c r="PRY42" s="73"/>
      <c r="PRZ42" s="73"/>
      <c r="PSA42" s="73"/>
      <c r="PSB42" s="73"/>
      <c r="PSC42" s="73"/>
      <c r="PSD42" s="73"/>
      <c r="PSE42" s="73"/>
      <c r="PSF42" s="73"/>
      <c r="PSG42" s="73"/>
      <c r="PSH42" s="73"/>
      <c r="PSI42" s="73"/>
      <c r="PSJ42" s="73"/>
      <c r="PSK42" s="73"/>
      <c r="PSL42" s="73"/>
      <c r="PSM42" s="73"/>
      <c r="PSN42" s="73"/>
      <c r="PSO42" s="73"/>
      <c r="PSP42" s="73"/>
      <c r="PSQ42" s="73"/>
      <c r="PSR42" s="73"/>
      <c r="PSS42" s="73"/>
      <c r="PST42" s="73"/>
      <c r="PSU42" s="73"/>
      <c r="PSV42" s="73"/>
      <c r="PSW42" s="73"/>
      <c r="PSX42" s="73"/>
      <c r="PSY42" s="73"/>
      <c r="PSZ42" s="73"/>
      <c r="PTA42" s="73"/>
      <c r="PTB42" s="73"/>
      <c r="PTC42" s="73"/>
      <c r="PTD42" s="73"/>
      <c r="PTE42" s="73"/>
      <c r="PTF42" s="73"/>
      <c r="PTG42" s="73"/>
      <c r="PTH42" s="73"/>
      <c r="PTI42" s="73"/>
      <c r="PTJ42" s="73"/>
      <c r="PTK42" s="73"/>
      <c r="PTL42" s="73"/>
      <c r="PTM42" s="73"/>
      <c r="PTN42" s="73"/>
      <c r="PTO42" s="73"/>
      <c r="PTP42" s="73"/>
      <c r="PTQ42" s="73"/>
      <c r="PTR42" s="73"/>
      <c r="PTS42" s="73"/>
      <c r="PTT42" s="73"/>
      <c r="PTU42" s="73"/>
      <c r="PTV42" s="73"/>
      <c r="PTW42" s="73"/>
      <c r="PTX42" s="73"/>
      <c r="PTY42" s="73"/>
      <c r="PTZ42" s="73"/>
      <c r="PUA42" s="73"/>
      <c r="PUB42" s="73"/>
      <c r="PUC42" s="73"/>
      <c r="PUD42" s="73"/>
      <c r="PUE42" s="73"/>
      <c r="PUF42" s="73"/>
      <c r="PUG42" s="73"/>
      <c r="PUH42" s="73"/>
      <c r="PUI42" s="73"/>
      <c r="PUJ42" s="73"/>
      <c r="PUK42" s="73"/>
      <c r="PUL42" s="73"/>
      <c r="PUM42" s="73"/>
      <c r="PUN42" s="73"/>
      <c r="PUO42" s="73"/>
      <c r="PUP42" s="73"/>
      <c r="PUQ42" s="73"/>
      <c r="PUR42" s="73"/>
      <c r="PUS42" s="73"/>
      <c r="PUT42" s="73"/>
      <c r="PUU42" s="73"/>
      <c r="PUV42" s="73"/>
      <c r="PUW42" s="73"/>
      <c r="PUX42" s="73"/>
      <c r="PUY42" s="73"/>
      <c r="PUZ42" s="73"/>
      <c r="PVA42" s="73"/>
      <c r="PVB42" s="73"/>
      <c r="PVC42" s="73"/>
      <c r="PVD42" s="73"/>
      <c r="PVE42" s="73"/>
      <c r="PVF42" s="73"/>
      <c r="PVG42" s="73"/>
      <c r="PVH42" s="73"/>
      <c r="PVI42" s="73"/>
      <c r="PVJ42" s="73"/>
      <c r="PVK42" s="73"/>
      <c r="PVL42" s="73"/>
      <c r="PVM42" s="73"/>
      <c r="PVN42" s="73"/>
      <c r="PVO42" s="73"/>
      <c r="PVP42" s="73"/>
      <c r="PVQ42" s="73"/>
      <c r="PVR42" s="73"/>
      <c r="PVS42" s="73"/>
      <c r="PVT42" s="73"/>
      <c r="PVU42" s="73"/>
      <c r="PVV42" s="73"/>
      <c r="PVW42" s="73"/>
      <c r="PVX42" s="73"/>
      <c r="PVY42" s="73"/>
      <c r="PVZ42" s="73"/>
      <c r="PWA42" s="73"/>
      <c r="PWB42" s="73"/>
      <c r="PWC42" s="73"/>
      <c r="PWD42" s="73"/>
      <c r="PWE42" s="73"/>
      <c r="PWF42" s="73"/>
      <c r="PWG42" s="73"/>
      <c r="PWH42" s="73"/>
      <c r="PWI42" s="73"/>
      <c r="PWJ42" s="73"/>
      <c r="PWK42" s="73"/>
      <c r="PWL42" s="73"/>
      <c r="PWM42" s="73"/>
      <c r="PWN42" s="73"/>
      <c r="PWO42" s="73"/>
      <c r="PWP42" s="73"/>
      <c r="PWQ42" s="73"/>
      <c r="PWR42" s="73"/>
      <c r="PWS42" s="73"/>
      <c r="PWT42" s="73"/>
      <c r="PWU42" s="73"/>
      <c r="PWV42" s="73"/>
      <c r="PWW42" s="73"/>
      <c r="PWX42" s="73"/>
      <c r="PWY42" s="73"/>
      <c r="PWZ42" s="73"/>
      <c r="PXA42" s="73"/>
      <c r="PXB42" s="73"/>
      <c r="PXC42" s="73"/>
      <c r="PXD42" s="73"/>
      <c r="PXE42" s="73"/>
      <c r="PXF42" s="73"/>
      <c r="PXG42" s="73"/>
      <c r="PXH42" s="73"/>
      <c r="PXI42" s="73"/>
      <c r="PXJ42" s="73"/>
      <c r="PXK42" s="73"/>
      <c r="PXL42" s="73"/>
      <c r="PXM42" s="73"/>
      <c r="PXN42" s="73"/>
      <c r="PXO42" s="73"/>
      <c r="PXP42" s="73"/>
      <c r="PXQ42" s="73"/>
      <c r="PXR42" s="73"/>
      <c r="PXS42" s="73"/>
      <c r="PXT42" s="73"/>
      <c r="PXU42" s="73"/>
      <c r="PXV42" s="73"/>
      <c r="PXW42" s="73"/>
      <c r="PXX42" s="73"/>
      <c r="PXY42" s="73"/>
      <c r="PXZ42" s="73"/>
      <c r="PYA42" s="73"/>
      <c r="PYB42" s="73"/>
      <c r="PYC42" s="73"/>
      <c r="PYD42" s="73"/>
      <c r="PYE42" s="73"/>
      <c r="PYF42" s="73"/>
      <c r="PYG42" s="73"/>
      <c r="PYH42" s="73"/>
      <c r="PYI42" s="73"/>
      <c r="PYJ42" s="73"/>
      <c r="PYK42" s="73"/>
      <c r="PYL42" s="73"/>
      <c r="PYM42" s="73"/>
      <c r="PYN42" s="73"/>
      <c r="PYO42" s="73"/>
      <c r="PYP42" s="73"/>
      <c r="PYQ42" s="73"/>
      <c r="PYR42" s="73"/>
      <c r="PYS42" s="73"/>
      <c r="PYT42" s="73"/>
      <c r="PYU42" s="73"/>
      <c r="PYV42" s="73"/>
      <c r="PYW42" s="73"/>
      <c r="PYX42" s="73"/>
      <c r="PYY42" s="73"/>
      <c r="PYZ42" s="73"/>
      <c r="PZA42" s="73"/>
      <c r="PZB42" s="73"/>
      <c r="PZC42" s="73"/>
      <c r="PZD42" s="73"/>
      <c r="PZE42" s="73"/>
      <c r="PZF42" s="73"/>
      <c r="PZG42" s="73"/>
      <c r="PZH42" s="73"/>
      <c r="PZI42" s="73"/>
      <c r="PZJ42" s="73"/>
      <c r="PZK42" s="73"/>
      <c r="PZL42" s="73"/>
      <c r="PZM42" s="73"/>
      <c r="PZN42" s="73"/>
      <c r="PZO42" s="73"/>
      <c r="PZP42" s="73"/>
      <c r="PZQ42" s="73"/>
      <c r="PZR42" s="73"/>
      <c r="PZS42" s="73"/>
      <c r="PZT42" s="73"/>
      <c r="PZU42" s="73"/>
      <c r="PZV42" s="73"/>
      <c r="PZW42" s="73"/>
      <c r="PZX42" s="73"/>
      <c r="PZY42" s="73"/>
      <c r="PZZ42" s="73"/>
      <c r="QAA42" s="73"/>
      <c r="QAB42" s="73"/>
      <c r="QAC42" s="73"/>
      <c r="QAD42" s="73"/>
      <c r="QAE42" s="73"/>
      <c r="QAF42" s="73"/>
      <c r="QAG42" s="73"/>
      <c r="QAH42" s="73"/>
      <c r="QAI42" s="73"/>
      <c r="QAJ42" s="73"/>
      <c r="QAK42" s="73"/>
      <c r="QAL42" s="73"/>
      <c r="QAM42" s="73"/>
      <c r="QAN42" s="73"/>
      <c r="QAO42" s="73"/>
      <c r="QAP42" s="73"/>
      <c r="QAQ42" s="73"/>
      <c r="QAR42" s="73"/>
      <c r="QAS42" s="73"/>
      <c r="QAT42" s="73"/>
      <c r="QAU42" s="73"/>
      <c r="QAV42" s="73"/>
      <c r="QAW42" s="73"/>
      <c r="QAX42" s="73"/>
      <c r="QAY42" s="73"/>
      <c r="QAZ42" s="73"/>
      <c r="QBA42" s="73"/>
      <c r="QBB42" s="73"/>
      <c r="QBC42" s="73"/>
      <c r="QBD42" s="73"/>
      <c r="QBE42" s="73"/>
      <c r="QBF42" s="73"/>
      <c r="QBG42" s="73"/>
      <c r="QBH42" s="73"/>
      <c r="QBI42" s="73"/>
      <c r="QBJ42" s="73"/>
      <c r="QBK42" s="73"/>
      <c r="QBL42" s="73"/>
      <c r="QBM42" s="73"/>
      <c r="QBN42" s="73"/>
      <c r="QBO42" s="73"/>
      <c r="QBP42" s="73"/>
      <c r="QBQ42" s="73"/>
      <c r="QBR42" s="73"/>
      <c r="QBS42" s="73"/>
      <c r="QBT42" s="73"/>
      <c r="QBU42" s="73"/>
      <c r="QBV42" s="73"/>
      <c r="QBW42" s="73"/>
      <c r="QBX42" s="73"/>
      <c r="QBY42" s="73"/>
      <c r="QBZ42" s="73"/>
      <c r="QCA42" s="73"/>
      <c r="QCB42" s="73"/>
      <c r="QCC42" s="73"/>
      <c r="QCD42" s="73"/>
      <c r="QCE42" s="73"/>
      <c r="QCF42" s="73"/>
      <c r="QCG42" s="73"/>
      <c r="QCH42" s="73"/>
      <c r="QCI42" s="73"/>
      <c r="QCJ42" s="73"/>
      <c r="QCK42" s="73"/>
      <c r="QCL42" s="73"/>
      <c r="QCM42" s="73"/>
      <c r="QCN42" s="73"/>
      <c r="QCO42" s="73"/>
      <c r="QCP42" s="73"/>
      <c r="QCQ42" s="73"/>
      <c r="QCR42" s="73"/>
      <c r="QCS42" s="73"/>
      <c r="QCT42" s="73"/>
      <c r="QCU42" s="73"/>
      <c r="QCV42" s="73"/>
      <c r="QCW42" s="73"/>
      <c r="QCX42" s="73"/>
      <c r="QCY42" s="73"/>
      <c r="QCZ42" s="73"/>
      <c r="QDA42" s="73"/>
      <c r="QDB42" s="73"/>
      <c r="QDC42" s="73"/>
      <c r="QDD42" s="73"/>
      <c r="QDE42" s="73"/>
      <c r="QDF42" s="73"/>
      <c r="QDG42" s="73"/>
      <c r="QDH42" s="73"/>
      <c r="QDI42" s="73"/>
      <c r="QDJ42" s="73"/>
      <c r="QDK42" s="73"/>
      <c r="QDL42" s="73"/>
      <c r="QDM42" s="73"/>
      <c r="QDN42" s="73"/>
      <c r="QDO42" s="73"/>
      <c r="QDP42" s="73"/>
      <c r="QDQ42" s="73"/>
      <c r="QDR42" s="73"/>
      <c r="QDS42" s="73"/>
      <c r="QDT42" s="73"/>
      <c r="QDU42" s="73"/>
      <c r="QDV42" s="73"/>
      <c r="QDW42" s="73"/>
      <c r="QDX42" s="73"/>
      <c r="QDY42" s="73"/>
      <c r="QDZ42" s="73"/>
      <c r="QEA42" s="73"/>
      <c r="QEB42" s="73"/>
      <c r="QEC42" s="73"/>
      <c r="QED42" s="73"/>
      <c r="QEE42" s="73"/>
      <c r="QEF42" s="73"/>
      <c r="QEG42" s="73"/>
      <c r="QEH42" s="73"/>
      <c r="QEI42" s="73"/>
      <c r="QEJ42" s="73"/>
      <c r="QEK42" s="73"/>
      <c r="QEL42" s="73"/>
      <c r="QEM42" s="73"/>
      <c r="QEN42" s="73"/>
      <c r="QEO42" s="73"/>
      <c r="QEP42" s="73"/>
      <c r="QEQ42" s="73"/>
      <c r="QER42" s="73"/>
      <c r="QES42" s="73"/>
      <c r="QET42" s="73"/>
      <c r="QEU42" s="73"/>
      <c r="QEV42" s="73"/>
      <c r="QEW42" s="73"/>
      <c r="QEX42" s="73"/>
      <c r="QEY42" s="73"/>
      <c r="QEZ42" s="73"/>
      <c r="QFA42" s="73"/>
      <c r="QFB42" s="73"/>
      <c r="QFC42" s="73"/>
      <c r="QFD42" s="73"/>
      <c r="QFE42" s="73"/>
      <c r="QFF42" s="73"/>
      <c r="QFG42" s="73"/>
      <c r="QFH42" s="73"/>
      <c r="QFI42" s="73"/>
      <c r="QFJ42" s="73"/>
      <c r="QFK42" s="73"/>
      <c r="QFL42" s="73"/>
      <c r="QFM42" s="73"/>
      <c r="QFN42" s="73"/>
      <c r="QFO42" s="73"/>
      <c r="QFP42" s="73"/>
      <c r="QFQ42" s="73"/>
      <c r="QFR42" s="73"/>
      <c r="QFS42" s="73"/>
      <c r="QFT42" s="73"/>
      <c r="QFU42" s="73"/>
      <c r="QFV42" s="73"/>
      <c r="QFW42" s="73"/>
      <c r="QFX42" s="73"/>
      <c r="QFY42" s="73"/>
      <c r="QFZ42" s="73"/>
      <c r="QGA42" s="73"/>
      <c r="QGB42" s="73"/>
      <c r="QGC42" s="73"/>
      <c r="QGD42" s="73"/>
      <c r="QGE42" s="73"/>
      <c r="QGF42" s="73"/>
      <c r="QGG42" s="73"/>
      <c r="QGH42" s="73"/>
      <c r="QGI42" s="73"/>
      <c r="QGJ42" s="73"/>
      <c r="QGK42" s="73"/>
      <c r="QGL42" s="73"/>
      <c r="QGM42" s="73"/>
      <c r="QGN42" s="73"/>
      <c r="QGO42" s="73"/>
      <c r="QGP42" s="73"/>
      <c r="QGQ42" s="73"/>
      <c r="QGR42" s="73"/>
      <c r="QGS42" s="73"/>
      <c r="QGT42" s="73"/>
      <c r="QGU42" s="73"/>
      <c r="QGV42" s="73"/>
      <c r="QGW42" s="73"/>
      <c r="QGX42" s="73"/>
      <c r="QGY42" s="73"/>
      <c r="QGZ42" s="73"/>
      <c r="QHA42" s="73"/>
      <c r="QHB42" s="73"/>
      <c r="QHC42" s="73"/>
      <c r="QHD42" s="73"/>
      <c r="QHE42" s="73"/>
      <c r="QHF42" s="73"/>
      <c r="QHG42" s="73"/>
      <c r="QHH42" s="73"/>
      <c r="QHI42" s="73"/>
      <c r="QHJ42" s="73"/>
      <c r="QHK42" s="73"/>
      <c r="QHL42" s="73"/>
      <c r="QHM42" s="73"/>
      <c r="QHN42" s="73"/>
      <c r="QHO42" s="73"/>
      <c r="QHP42" s="73"/>
      <c r="QHQ42" s="73"/>
      <c r="QHR42" s="73"/>
      <c r="QHS42" s="73"/>
      <c r="QHT42" s="73"/>
      <c r="QHU42" s="73"/>
      <c r="QHV42" s="73"/>
      <c r="QHW42" s="73"/>
      <c r="QHX42" s="73"/>
      <c r="QHY42" s="73"/>
      <c r="QHZ42" s="73"/>
      <c r="QIA42" s="73"/>
      <c r="QIB42" s="73"/>
      <c r="QIC42" s="73"/>
      <c r="QID42" s="73"/>
      <c r="QIE42" s="73"/>
      <c r="QIF42" s="73"/>
      <c r="QIG42" s="73"/>
      <c r="QIH42" s="73"/>
      <c r="QII42" s="73"/>
      <c r="QIJ42" s="73"/>
      <c r="QIK42" s="73"/>
      <c r="QIL42" s="73"/>
      <c r="QIM42" s="73"/>
      <c r="QIN42" s="73"/>
      <c r="QIO42" s="73"/>
      <c r="QIP42" s="73"/>
      <c r="QIQ42" s="73"/>
      <c r="QIR42" s="73"/>
      <c r="QIS42" s="73"/>
      <c r="QIT42" s="73"/>
      <c r="QIU42" s="73"/>
      <c r="QIV42" s="73"/>
      <c r="QIW42" s="73"/>
      <c r="QIX42" s="73"/>
      <c r="QIY42" s="73"/>
      <c r="QIZ42" s="73"/>
      <c r="QJA42" s="73"/>
      <c r="QJB42" s="73"/>
      <c r="QJC42" s="73"/>
      <c r="QJD42" s="73"/>
      <c r="QJE42" s="73"/>
      <c r="QJF42" s="73"/>
      <c r="QJG42" s="73"/>
      <c r="QJH42" s="73"/>
      <c r="QJI42" s="73"/>
      <c r="QJJ42" s="73"/>
      <c r="QJK42" s="73"/>
      <c r="QJL42" s="73"/>
      <c r="QJM42" s="73"/>
      <c r="QJN42" s="73"/>
      <c r="QJO42" s="73"/>
      <c r="QJP42" s="73"/>
      <c r="QJQ42" s="73"/>
      <c r="QJR42" s="73"/>
      <c r="QJS42" s="73"/>
      <c r="QJT42" s="73"/>
      <c r="QJU42" s="73"/>
      <c r="QJV42" s="73"/>
      <c r="QJW42" s="73"/>
      <c r="QJX42" s="73"/>
      <c r="QJY42" s="73"/>
      <c r="QJZ42" s="73"/>
      <c r="QKA42" s="73"/>
      <c r="QKB42" s="73"/>
      <c r="QKC42" s="73"/>
      <c r="QKD42" s="73"/>
      <c r="QKE42" s="73"/>
      <c r="QKF42" s="73"/>
      <c r="QKG42" s="73"/>
      <c r="QKH42" s="73"/>
      <c r="QKI42" s="73"/>
      <c r="QKJ42" s="73"/>
      <c r="QKK42" s="73"/>
      <c r="QKL42" s="73"/>
      <c r="QKM42" s="73"/>
      <c r="QKN42" s="73"/>
      <c r="QKO42" s="73"/>
      <c r="QKP42" s="73"/>
      <c r="QKQ42" s="73"/>
      <c r="QKR42" s="73"/>
      <c r="QKS42" s="73"/>
      <c r="QKT42" s="73"/>
      <c r="QKU42" s="73"/>
      <c r="QKV42" s="73"/>
      <c r="QKW42" s="73"/>
      <c r="QKX42" s="73"/>
      <c r="QKY42" s="73"/>
      <c r="QKZ42" s="73"/>
      <c r="QLA42" s="73"/>
      <c r="QLB42" s="73"/>
      <c r="QLC42" s="73"/>
      <c r="QLD42" s="73"/>
      <c r="QLE42" s="73"/>
      <c r="QLF42" s="73"/>
      <c r="QLG42" s="73"/>
      <c r="QLH42" s="73"/>
      <c r="QLI42" s="73"/>
      <c r="QLJ42" s="73"/>
      <c r="QLK42" s="73"/>
      <c r="QLL42" s="73"/>
      <c r="QLM42" s="73"/>
      <c r="QLN42" s="73"/>
      <c r="QLO42" s="73"/>
      <c r="QLP42" s="73"/>
      <c r="QLQ42" s="73"/>
      <c r="QLR42" s="73"/>
      <c r="QLS42" s="73"/>
      <c r="QLT42" s="73"/>
      <c r="QLU42" s="73"/>
      <c r="QLV42" s="73"/>
      <c r="QLW42" s="73"/>
      <c r="QLX42" s="73"/>
      <c r="QLY42" s="73"/>
      <c r="QLZ42" s="73"/>
      <c r="QMA42" s="73"/>
      <c r="QMB42" s="73"/>
      <c r="QMC42" s="73"/>
      <c r="QMD42" s="73"/>
      <c r="QME42" s="73"/>
      <c r="QMF42" s="73"/>
      <c r="QMG42" s="73"/>
      <c r="QMH42" s="73"/>
      <c r="QMI42" s="73"/>
      <c r="QMJ42" s="73"/>
      <c r="QMK42" s="73"/>
      <c r="QML42" s="73"/>
      <c r="QMM42" s="73"/>
      <c r="QMN42" s="73"/>
      <c r="QMO42" s="73"/>
      <c r="QMP42" s="73"/>
      <c r="QMQ42" s="73"/>
      <c r="QMR42" s="73"/>
      <c r="QMS42" s="73"/>
      <c r="QMT42" s="73"/>
      <c r="QMU42" s="73"/>
      <c r="QMV42" s="73"/>
      <c r="QMW42" s="73"/>
      <c r="QMX42" s="73"/>
      <c r="QMY42" s="73"/>
      <c r="QMZ42" s="73"/>
      <c r="QNA42" s="73"/>
      <c r="QNB42" s="73"/>
      <c r="QNC42" s="73"/>
      <c r="QND42" s="73"/>
      <c r="QNE42" s="73"/>
      <c r="QNF42" s="73"/>
      <c r="QNG42" s="73"/>
      <c r="QNH42" s="73"/>
      <c r="QNI42" s="73"/>
      <c r="QNJ42" s="73"/>
      <c r="QNK42" s="73"/>
      <c r="QNL42" s="73"/>
      <c r="QNM42" s="73"/>
      <c r="QNN42" s="73"/>
      <c r="QNO42" s="73"/>
      <c r="QNP42" s="73"/>
      <c r="QNQ42" s="73"/>
      <c r="QNR42" s="73"/>
      <c r="QNS42" s="73"/>
      <c r="QNT42" s="73"/>
      <c r="QNU42" s="73"/>
      <c r="QNV42" s="73"/>
      <c r="QNW42" s="73"/>
      <c r="QNX42" s="73"/>
      <c r="QNY42" s="73"/>
      <c r="QNZ42" s="73"/>
      <c r="QOA42" s="73"/>
      <c r="QOB42" s="73"/>
      <c r="QOC42" s="73"/>
      <c r="QOD42" s="73"/>
      <c r="QOE42" s="73"/>
      <c r="QOF42" s="73"/>
      <c r="QOG42" s="73"/>
      <c r="QOH42" s="73"/>
      <c r="QOI42" s="73"/>
      <c r="QOJ42" s="73"/>
      <c r="QOK42" s="73"/>
      <c r="QOL42" s="73"/>
      <c r="QOM42" s="73"/>
      <c r="QON42" s="73"/>
      <c r="QOO42" s="73"/>
      <c r="QOP42" s="73"/>
      <c r="QOQ42" s="73"/>
      <c r="QOR42" s="73"/>
      <c r="QOS42" s="73"/>
      <c r="QOT42" s="73"/>
      <c r="QOU42" s="73"/>
      <c r="QOV42" s="73"/>
      <c r="QOW42" s="73"/>
      <c r="QOX42" s="73"/>
      <c r="QOY42" s="73"/>
      <c r="QOZ42" s="73"/>
      <c r="QPA42" s="73"/>
      <c r="QPB42" s="73"/>
      <c r="QPC42" s="73"/>
      <c r="QPD42" s="73"/>
      <c r="QPE42" s="73"/>
      <c r="QPF42" s="73"/>
      <c r="QPG42" s="73"/>
      <c r="QPH42" s="73"/>
      <c r="QPI42" s="73"/>
      <c r="QPJ42" s="73"/>
      <c r="QPK42" s="73"/>
      <c r="QPL42" s="73"/>
      <c r="QPM42" s="73"/>
      <c r="QPN42" s="73"/>
      <c r="QPO42" s="73"/>
      <c r="QPP42" s="73"/>
      <c r="QPQ42" s="73"/>
      <c r="QPR42" s="73"/>
      <c r="QPS42" s="73"/>
      <c r="QPT42" s="73"/>
      <c r="QPU42" s="73"/>
      <c r="QPV42" s="73"/>
      <c r="QPW42" s="73"/>
      <c r="QPX42" s="73"/>
      <c r="QPY42" s="73"/>
      <c r="QPZ42" s="73"/>
      <c r="QQA42" s="73"/>
      <c r="QQB42" s="73"/>
      <c r="QQC42" s="73"/>
      <c r="QQD42" s="73"/>
      <c r="QQE42" s="73"/>
      <c r="QQF42" s="73"/>
      <c r="QQG42" s="73"/>
      <c r="QQH42" s="73"/>
      <c r="QQI42" s="73"/>
      <c r="QQJ42" s="73"/>
      <c r="QQK42" s="73"/>
      <c r="QQL42" s="73"/>
      <c r="QQM42" s="73"/>
      <c r="QQN42" s="73"/>
      <c r="QQO42" s="73"/>
      <c r="QQP42" s="73"/>
      <c r="QQQ42" s="73"/>
      <c r="QQR42" s="73"/>
      <c r="QQS42" s="73"/>
      <c r="QQT42" s="73"/>
      <c r="QQU42" s="73"/>
      <c r="QQV42" s="73"/>
      <c r="QQW42" s="73"/>
      <c r="QQX42" s="73"/>
      <c r="QQY42" s="73"/>
      <c r="QQZ42" s="73"/>
      <c r="QRA42" s="73"/>
      <c r="QRB42" s="73"/>
      <c r="QRC42" s="73"/>
      <c r="QRD42" s="73"/>
      <c r="QRE42" s="73"/>
      <c r="QRF42" s="73"/>
      <c r="QRG42" s="73"/>
      <c r="QRH42" s="73"/>
      <c r="QRI42" s="73"/>
      <c r="QRJ42" s="73"/>
      <c r="QRK42" s="73"/>
      <c r="QRL42" s="73"/>
      <c r="QRM42" s="73"/>
      <c r="QRN42" s="73"/>
      <c r="QRO42" s="73"/>
      <c r="QRP42" s="73"/>
      <c r="QRQ42" s="73"/>
      <c r="QRR42" s="73"/>
      <c r="QRS42" s="73"/>
      <c r="QRT42" s="73"/>
      <c r="QRU42" s="73"/>
      <c r="QRV42" s="73"/>
      <c r="QRW42" s="73"/>
      <c r="QRX42" s="73"/>
      <c r="QRY42" s="73"/>
      <c r="QRZ42" s="73"/>
      <c r="QSA42" s="73"/>
      <c r="QSB42" s="73"/>
      <c r="QSC42" s="73"/>
      <c r="QSD42" s="73"/>
      <c r="QSE42" s="73"/>
      <c r="QSF42" s="73"/>
      <c r="QSG42" s="73"/>
      <c r="QSH42" s="73"/>
      <c r="QSI42" s="73"/>
      <c r="QSJ42" s="73"/>
      <c r="QSK42" s="73"/>
      <c r="QSL42" s="73"/>
      <c r="QSM42" s="73"/>
      <c r="QSN42" s="73"/>
      <c r="QSO42" s="73"/>
      <c r="QSP42" s="73"/>
      <c r="QSQ42" s="73"/>
      <c r="QSR42" s="73"/>
      <c r="QSS42" s="73"/>
      <c r="QST42" s="73"/>
      <c r="QSU42" s="73"/>
      <c r="QSV42" s="73"/>
      <c r="QSW42" s="73"/>
      <c r="QSX42" s="73"/>
      <c r="QSY42" s="73"/>
      <c r="QSZ42" s="73"/>
      <c r="QTA42" s="73"/>
      <c r="QTB42" s="73"/>
      <c r="QTC42" s="73"/>
      <c r="QTD42" s="73"/>
      <c r="QTE42" s="73"/>
      <c r="QTF42" s="73"/>
      <c r="QTG42" s="73"/>
      <c r="QTH42" s="73"/>
      <c r="QTI42" s="73"/>
      <c r="QTJ42" s="73"/>
      <c r="QTK42" s="73"/>
      <c r="QTL42" s="73"/>
      <c r="QTM42" s="73"/>
      <c r="QTN42" s="73"/>
      <c r="QTO42" s="73"/>
      <c r="QTP42" s="73"/>
      <c r="QTQ42" s="73"/>
      <c r="QTR42" s="73"/>
      <c r="QTS42" s="73"/>
      <c r="QTT42" s="73"/>
      <c r="QTU42" s="73"/>
      <c r="QTV42" s="73"/>
      <c r="QTW42" s="73"/>
      <c r="QTX42" s="73"/>
      <c r="QTY42" s="73"/>
      <c r="QTZ42" s="73"/>
      <c r="QUA42" s="73"/>
      <c r="QUB42" s="73"/>
      <c r="QUC42" s="73"/>
      <c r="QUD42" s="73"/>
      <c r="QUE42" s="73"/>
      <c r="QUF42" s="73"/>
      <c r="QUG42" s="73"/>
      <c r="QUH42" s="73"/>
      <c r="QUI42" s="73"/>
      <c r="QUJ42" s="73"/>
      <c r="QUK42" s="73"/>
      <c r="QUL42" s="73"/>
      <c r="QUM42" s="73"/>
      <c r="QUN42" s="73"/>
      <c r="QUO42" s="73"/>
      <c r="QUP42" s="73"/>
      <c r="QUQ42" s="73"/>
      <c r="QUR42" s="73"/>
      <c r="QUS42" s="73"/>
      <c r="QUT42" s="73"/>
      <c r="QUU42" s="73"/>
      <c r="QUV42" s="73"/>
      <c r="QUW42" s="73"/>
      <c r="QUX42" s="73"/>
      <c r="QUY42" s="73"/>
      <c r="QUZ42" s="73"/>
      <c r="QVA42" s="73"/>
      <c r="QVB42" s="73"/>
      <c r="QVC42" s="73"/>
      <c r="QVD42" s="73"/>
      <c r="QVE42" s="73"/>
      <c r="QVF42" s="73"/>
      <c r="QVG42" s="73"/>
      <c r="QVH42" s="73"/>
      <c r="QVI42" s="73"/>
      <c r="QVJ42" s="73"/>
      <c r="QVK42" s="73"/>
      <c r="QVL42" s="73"/>
      <c r="QVM42" s="73"/>
      <c r="QVN42" s="73"/>
      <c r="QVO42" s="73"/>
      <c r="QVP42" s="73"/>
      <c r="QVQ42" s="73"/>
      <c r="QVR42" s="73"/>
      <c r="QVS42" s="73"/>
      <c r="QVT42" s="73"/>
      <c r="QVU42" s="73"/>
      <c r="QVV42" s="73"/>
      <c r="QVW42" s="73"/>
      <c r="QVX42" s="73"/>
      <c r="QVY42" s="73"/>
      <c r="QVZ42" s="73"/>
      <c r="QWA42" s="73"/>
      <c r="QWB42" s="73"/>
      <c r="QWC42" s="73"/>
      <c r="QWD42" s="73"/>
      <c r="QWE42" s="73"/>
      <c r="QWF42" s="73"/>
      <c r="QWG42" s="73"/>
      <c r="QWH42" s="73"/>
      <c r="QWI42" s="73"/>
      <c r="QWJ42" s="73"/>
      <c r="QWK42" s="73"/>
      <c r="QWL42" s="73"/>
      <c r="QWM42" s="73"/>
      <c r="QWN42" s="73"/>
      <c r="QWO42" s="73"/>
      <c r="QWP42" s="73"/>
      <c r="QWQ42" s="73"/>
      <c r="QWR42" s="73"/>
      <c r="QWS42" s="73"/>
      <c r="QWT42" s="73"/>
      <c r="QWU42" s="73"/>
      <c r="QWV42" s="73"/>
      <c r="QWW42" s="73"/>
      <c r="QWX42" s="73"/>
      <c r="QWY42" s="73"/>
      <c r="QWZ42" s="73"/>
      <c r="QXA42" s="73"/>
      <c r="QXB42" s="73"/>
      <c r="QXC42" s="73"/>
      <c r="QXD42" s="73"/>
      <c r="QXE42" s="73"/>
      <c r="QXF42" s="73"/>
      <c r="QXG42" s="73"/>
      <c r="QXH42" s="73"/>
      <c r="QXI42" s="73"/>
      <c r="QXJ42" s="73"/>
      <c r="QXK42" s="73"/>
      <c r="QXL42" s="73"/>
      <c r="QXM42" s="73"/>
      <c r="QXN42" s="73"/>
      <c r="QXO42" s="73"/>
      <c r="QXP42" s="73"/>
      <c r="QXQ42" s="73"/>
      <c r="QXR42" s="73"/>
      <c r="QXS42" s="73"/>
      <c r="QXT42" s="73"/>
      <c r="QXU42" s="73"/>
      <c r="QXV42" s="73"/>
      <c r="QXW42" s="73"/>
      <c r="QXX42" s="73"/>
      <c r="QXY42" s="73"/>
      <c r="QXZ42" s="73"/>
      <c r="QYA42" s="73"/>
      <c r="QYB42" s="73"/>
      <c r="QYC42" s="73"/>
      <c r="QYD42" s="73"/>
      <c r="QYE42" s="73"/>
      <c r="QYF42" s="73"/>
      <c r="QYG42" s="73"/>
      <c r="QYH42" s="73"/>
      <c r="QYI42" s="73"/>
      <c r="QYJ42" s="73"/>
      <c r="QYK42" s="73"/>
      <c r="QYL42" s="73"/>
      <c r="QYM42" s="73"/>
      <c r="QYN42" s="73"/>
      <c r="QYO42" s="73"/>
      <c r="QYP42" s="73"/>
      <c r="QYQ42" s="73"/>
      <c r="QYR42" s="73"/>
      <c r="QYS42" s="73"/>
      <c r="QYT42" s="73"/>
      <c r="QYU42" s="73"/>
      <c r="QYV42" s="73"/>
      <c r="QYW42" s="73"/>
      <c r="QYX42" s="73"/>
      <c r="QYY42" s="73"/>
      <c r="QYZ42" s="73"/>
      <c r="QZA42" s="73"/>
      <c r="QZB42" s="73"/>
      <c r="QZC42" s="73"/>
      <c r="QZD42" s="73"/>
      <c r="QZE42" s="73"/>
      <c r="QZF42" s="73"/>
      <c r="QZG42" s="73"/>
      <c r="QZH42" s="73"/>
      <c r="QZI42" s="73"/>
      <c r="QZJ42" s="73"/>
      <c r="QZK42" s="73"/>
      <c r="QZL42" s="73"/>
      <c r="QZM42" s="73"/>
      <c r="QZN42" s="73"/>
      <c r="QZO42" s="73"/>
      <c r="QZP42" s="73"/>
      <c r="QZQ42" s="73"/>
      <c r="QZR42" s="73"/>
      <c r="QZS42" s="73"/>
      <c r="QZT42" s="73"/>
      <c r="QZU42" s="73"/>
      <c r="QZV42" s="73"/>
      <c r="QZW42" s="73"/>
      <c r="QZX42" s="73"/>
      <c r="QZY42" s="73"/>
      <c r="QZZ42" s="73"/>
      <c r="RAA42" s="73"/>
      <c r="RAB42" s="73"/>
      <c r="RAC42" s="73"/>
      <c r="RAD42" s="73"/>
      <c r="RAE42" s="73"/>
      <c r="RAF42" s="73"/>
      <c r="RAG42" s="73"/>
      <c r="RAH42" s="73"/>
      <c r="RAI42" s="73"/>
      <c r="RAJ42" s="73"/>
      <c r="RAK42" s="73"/>
      <c r="RAL42" s="73"/>
      <c r="RAM42" s="73"/>
      <c r="RAN42" s="73"/>
      <c r="RAO42" s="73"/>
      <c r="RAP42" s="73"/>
      <c r="RAQ42" s="73"/>
      <c r="RAR42" s="73"/>
      <c r="RAS42" s="73"/>
      <c r="RAT42" s="73"/>
      <c r="RAU42" s="73"/>
      <c r="RAV42" s="73"/>
      <c r="RAW42" s="73"/>
      <c r="RAX42" s="73"/>
      <c r="RAY42" s="73"/>
      <c r="RAZ42" s="73"/>
      <c r="RBA42" s="73"/>
      <c r="RBB42" s="73"/>
      <c r="RBC42" s="73"/>
      <c r="RBD42" s="73"/>
      <c r="RBE42" s="73"/>
      <c r="RBF42" s="73"/>
      <c r="RBG42" s="73"/>
      <c r="RBH42" s="73"/>
      <c r="RBI42" s="73"/>
      <c r="RBJ42" s="73"/>
      <c r="RBK42" s="73"/>
      <c r="RBL42" s="73"/>
      <c r="RBM42" s="73"/>
      <c r="RBN42" s="73"/>
      <c r="RBO42" s="73"/>
      <c r="RBP42" s="73"/>
      <c r="RBQ42" s="73"/>
      <c r="RBR42" s="73"/>
      <c r="RBS42" s="73"/>
      <c r="RBT42" s="73"/>
      <c r="RBU42" s="73"/>
      <c r="RBV42" s="73"/>
      <c r="RBW42" s="73"/>
      <c r="RBX42" s="73"/>
      <c r="RBY42" s="73"/>
      <c r="RBZ42" s="73"/>
      <c r="RCA42" s="73"/>
      <c r="RCB42" s="73"/>
      <c r="RCC42" s="73"/>
      <c r="RCD42" s="73"/>
      <c r="RCE42" s="73"/>
      <c r="RCF42" s="73"/>
      <c r="RCG42" s="73"/>
      <c r="RCH42" s="73"/>
      <c r="RCI42" s="73"/>
      <c r="RCJ42" s="73"/>
      <c r="RCK42" s="73"/>
      <c r="RCL42" s="73"/>
      <c r="RCM42" s="73"/>
      <c r="RCN42" s="73"/>
      <c r="RCO42" s="73"/>
      <c r="RCP42" s="73"/>
      <c r="RCQ42" s="73"/>
      <c r="RCR42" s="73"/>
      <c r="RCS42" s="73"/>
      <c r="RCT42" s="73"/>
      <c r="RCU42" s="73"/>
      <c r="RCV42" s="73"/>
      <c r="RCW42" s="73"/>
      <c r="RCX42" s="73"/>
      <c r="RCY42" s="73"/>
      <c r="RCZ42" s="73"/>
      <c r="RDA42" s="73"/>
      <c r="RDB42" s="73"/>
      <c r="RDC42" s="73"/>
      <c r="RDD42" s="73"/>
      <c r="RDE42" s="73"/>
      <c r="RDF42" s="73"/>
      <c r="RDG42" s="73"/>
      <c r="RDH42" s="73"/>
      <c r="RDI42" s="73"/>
      <c r="RDJ42" s="73"/>
      <c r="RDK42" s="73"/>
      <c r="RDL42" s="73"/>
      <c r="RDM42" s="73"/>
      <c r="RDN42" s="73"/>
      <c r="RDO42" s="73"/>
      <c r="RDP42" s="73"/>
      <c r="RDQ42" s="73"/>
      <c r="RDR42" s="73"/>
      <c r="RDS42" s="73"/>
      <c r="RDT42" s="73"/>
      <c r="RDU42" s="73"/>
      <c r="RDV42" s="73"/>
      <c r="RDW42" s="73"/>
      <c r="RDX42" s="73"/>
      <c r="RDY42" s="73"/>
      <c r="RDZ42" s="73"/>
      <c r="REA42" s="73"/>
      <c r="REB42" s="73"/>
      <c r="REC42" s="73"/>
      <c r="RED42" s="73"/>
      <c r="REE42" s="73"/>
      <c r="REF42" s="73"/>
      <c r="REG42" s="73"/>
      <c r="REH42" s="73"/>
      <c r="REI42" s="73"/>
      <c r="REJ42" s="73"/>
      <c r="REK42" s="73"/>
      <c r="REL42" s="73"/>
      <c r="REM42" s="73"/>
      <c r="REN42" s="73"/>
      <c r="REO42" s="73"/>
      <c r="REP42" s="73"/>
      <c r="REQ42" s="73"/>
      <c r="RER42" s="73"/>
      <c r="RES42" s="73"/>
      <c r="RET42" s="73"/>
      <c r="REU42" s="73"/>
      <c r="REV42" s="73"/>
      <c r="REW42" s="73"/>
      <c r="REX42" s="73"/>
      <c r="REY42" s="73"/>
      <c r="REZ42" s="73"/>
      <c r="RFA42" s="73"/>
      <c r="RFB42" s="73"/>
      <c r="RFC42" s="73"/>
      <c r="RFD42" s="73"/>
      <c r="RFE42" s="73"/>
      <c r="RFF42" s="73"/>
      <c r="RFG42" s="73"/>
      <c r="RFH42" s="73"/>
      <c r="RFI42" s="73"/>
      <c r="RFJ42" s="73"/>
      <c r="RFK42" s="73"/>
      <c r="RFL42" s="73"/>
      <c r="RFM42" s="73"/>
      <c r="RFN42" s="73"/>
      <c r="RFO42" s="73"/>
      <c r="RFP42" s="73"/>
      <c r="RFQ42" s="73"/>
      <c r="RFR42" s="73"/>
      <c r="RFS42" s="73"/>
      <c r="RFT42" s="73"/>
      <c r="RFU42" s="73"/>
      <c r="RFV42" s="73"/>
      <c r="RFW42" s="73"/>
      <c r="RFX42" s="73"/>
      <c r="RFY42" s="73"/>
      <c r="RFZ42" s="73"/>
      <c r="RGA42" s="73"/>
      <c r="RGB42" s="73"/>
      <c r="RGC42" s="73"/>
      <c r="RGD42" s="73"/>
      <c r="RGE42" s="73"/>
      <c r="RGF42" s="73"/>
      <c r="RGG42" s="73"/>
      <c r="RGH42" s="73"/>
      <c r="RGI42" s="73"/>
      <c r="RGJ42" s="73"/>
      <c r="RGK42" s="73"/>
      <c r="RGL42" s="73"/>
      <c r="RGM42" s="73"/>
      <c r="RGN42" s="73"/>
      <c r="RGO42" s="73"/>
      <c r="RGP42" s="73"/>
      <c r="RGQ42" s="73"/>
      <c r="RGR42" s="73"/>
      <c r="RGS42" s="73"/>
      <c r="RGT42" s="73"/>
      <c r="RGU42" s="73"/>
      <c r="RGV42" s="73"/>
      <c r="RGW42" s="73"/>
      <c r="RGX42" s="73"/>
      <c r="RGY42" s="73"/>
      <c r="RGZ42" s="73"/>
      <c r="RHA42" s="73"/>
      <c r="RHB42" s="73"/>
      <c r="RHC42" s="73"/>
      <c r="RHD42" s="73"/>
      <c r="RHE42" s="73"/>
      <c r="RHF42" s="73"/>
      <c r="RHG42" s="73"/>
      <c r="RHH42" s="73"/>
      <c r="RHI42" s="73"/>
      <c r="RHJ42" s="73"/>
      <c r="RHK42" s="73"/>
      <c r="RHL42" s="73"/>
      <c r="RHM42" s="73"/>
      <c r="RHN42" s="73"/>
      <c r="RHO42" s="73"/>
      <c r="RHP42" s="73"/>
      <c r="RHQ42" s="73"/>
      <c r="RHR42" s="73"/>
      <c r="RHS42" s="73"/>
      <c r="RHT42" s="73"/>
      <c r="RHU42" s="73"/>
      <c r="RHV42" s="73"/>
      <c r="RHW42" s="73"/>
      <c r="RHX42" s="73"/>
      <c r="RHY42" s="73"/>
      <c r="RHZ42" s="73"/>
      <c r="RIA42" s="73"/>
      <c r="RIB42" s="73"/>
      <c r="RIC42" s="73"/>
      <c r="RID42" s="73"/>
      <c r="RIE42" s="73"/>
      <c r="RIF42" s="73"/>
      <c r="RIG42" s="73"/>
      <c r="RIH42" s="73"/>
      <c r="RII42" s="73"/>
      <c r="RIJ42" s="73"/>
      <c r="RIK42" s="73"/>
      <c r="RIL42" s="73"/>
      <c r="RIM42" s="73"/>
      <c r="RIN42" s="73"/>
      <c r="RIO42" s="73"/>
      <c r="RIP42" s="73"/>
      <c r="RIQ42" s="73"/>
      <c r="RIR42" s="73"/>
      <c r="RIS42" s="73"/>
      <c r="RIT42" s="73"/>
      <c r="RIU42" s="73"/>
      <c r="RIV42" s="73"/>
      <c r="RIW42" s="73"/>
      <c r="RIX42" s="73"/>
      <c r="RIY42" s="73"/>
      <c r="RIZ42" s="73"/>
      <c r="RJA42" s="73"/>
      <c r="RJB42" s="73"/>
      <c r="RJC42" s="73"/>
      <c r="RJD42" s="73"/>
      <c r="RJE42" s="73"/>
      <c r="RJF42" s="73"/>
      <c r="RJG42" s="73"/>
      <c r="RJH42" s="73"/>
      <c r="RJI42" s="73"/>
      <c r="RJJ42" s="73"/>
      <c r="RJK42" s="73"/>
      <c r="RJL42" s="73"/>
      <c r="RJM42" s="73"/>
      <c r="RJN42" s="73"/>
      <c r="RJO42" s="73"/>
      <c r="RJP42" s="73"/>
      <c r="RJQ42" s="73"/>
      <c r="RJR42" s="73"/>
      <c r="RJS42" s="73"/>
      <c r="RJT42" s="73"/>
      <c r="RJU42" s="73"/>
      <c r="RJV42" s="73"/>
      <c r="RJW42" s="73"/>
      <c r="RJX42" s="73"/>
      <c r="RJY42" s="73"/>
      <c r="RJZ42" s="73"/>
      <c r="RKA42" s="73"/>
      <c r="RKB42" s="73"/>
      <c r="RKC42" s="73"/>
      <c r="RKD42" s="73"/>
      <c r="RKE42" s="73"/>
      <c r="RKF42" s="73"/>
      <c r="RKG42" s="73"/>
      <c r="RKH42" s="73"/>
      <c r="RKI42" s="73"/>
      <c r="RKJ42" s="73"/>
      <c r="RKK42" s="73"/>
      <c r="RKL42" s="73"/>
      <c r="RKM42" s="73"/>
      <c r="RKN42" s="73"/>
      <c r="RKO42" s="73"/>
      <c r="RKP42" s="73"/>
      <c r="RKQ42" s="73"/>
      <c r="RKR42" s="73"/>
      <c r="RKS42" s="73"/>
      <c r="RKT42" s="73"/>
      <c r="RKU42" s="73"/>
      <c r="RKV42" s="73"/>
      <c r="RKW42" s="73"/>
      <c r="RKX42" s="73"/>
      <c r="RKY42" s="73"/>
      <c r="RKZ42" s="73"/>
      <c r="RLA42" s="73"/>
      <c r="RLB42" s="73"/>
      <c r="RLC42" s="73"/>
      <c r="RLD42" s="73"/>
      <c r="RLE42" s="73"/>
      <c r="RLF42" s="73"/>
      <c r="RLG42" s="73"/>
      <c r="RLH42" s="73"/>
      <c r="RLI42" s="73"/>
      <c r="RLJ42" s="73"/>
      <c r="RLK42" s="73"/>
      <c r="RLL42" s="73"/>
      <c r="RLM42" s="73"/>
      <c r="RLN42" s="73"/>
      <c r="RLO42" s="73"/>
      <c r="RLP42" s="73"/>
      <c r="RLQ42" s="73"/>
      <c r="RLR42" s="73"/>
      <c r="RLS42" s="73"/>
      <c r="RLT42" s="73"/>
      <c r="RLU42" s="73"/>
      <c r="RLV42" s="73"/>
      <c r="RLW42" s="73"/>
      <c r="RLX42" s="73"/>
      <c r="RLY42" s="73"/>
      <c r="RLZ42" s="73"/>
      <c r="RMA42" s="73"/>
      <c r="RMB42" s="73"/>
      <c r="RMC42" s="73"/>
      <c r="RMD42" s="73"/>
      <c r="RME42" s="73"/>
      <c r="RMF42" s="73"/>
      <c r="RMG42" s="73"/>
      <c r="RMH42" s="73"/>
      <c r="RMI42" s="73"/>
      <c r="RMJ42" s="73"/>
      <c r="RMK42" s="73"/>
      <c r="RML42" s="73"/>
      <c r="RMM42" s="73"/>
      <c r="RMN42" s="73"/>
      <c r="RMO42" s="73"/>
      <c r="RMP42" s="73"/>
      <c r="RMQ42" s="73"/>
      <c r="RMR42" s="73"/>
      <c r="RMS42" s="73"/>
      <c r="RMT42" s="73"/>
      <c r="RMU42" s="73"/>
      <c r="RMV42" s="73"/>
      <c r="RMW42" s="73"/>
      <c r="RMX42" s="73"/>
      <c r="RMY42" s="73"/>
      <c r="RMZ42" s="73"/>
      <c r="RNA42" s="73"/>
      <c r="RNB42" s="73"/>
      <c r="RNC42" s="73"/>
      <c r="RND42" s="73"/>
      <c r="RNE42" s="73"/>
      <c r="RNF42" s="73"/>
      <c r="RNG42" s="73"/>
      <c r="RNH42" s="73"/>
      <c r="RNI42" s="73"/>
      <c r="RNJ42" s="73"/>
      <c r="RNK42" s="73"/>
      <c r="RNL42" s="73"/>
      <c r="RNM42" s="73"/>
      <c r="RNN42" s="73"/>
      <c r="RNO42" s="73"/>
      <c r="RNP42" s="73"/>
      <c r="RNQ42" s="73"/>
      <c r="RNR42" s="73"/>
      <c r="RNS42" s="73"/>
      <c r="RNT42" s="73"/>
      <c r="RNU42" s="73"/>
      <c r="RNV42" s="73"/>
      <c r="RNW42" s="73"/>
      <c r="RNX42" s="73"/>
      <c r="RNY42" s="73"/>
      <c r="RNZ42" s="73"/>
      <c r="ROA42" s="73"/>
      <c r="ROB42" s="73"/>
      <c r="ROC42" s="73"/>
      <c r="ROD42" s="73"/>
      <c r="ROE42" s="73"/>
      <c r="ROF42" s="73"/>
      <c r="ROG42" s="73"/>
      <c r="ROH42" s="73"/>
      <c r="ROI42" s="73"/>
      <c r="ROJ42" s="73"/>
      <c r="ROK42" s="73"/>
      <c r="ROL42" s="73"/>
      <c r="ROM42" s="73"/>
      <c r="RON42" s="73"/>
      <c r="ROO42" s="73"/>
      <c r="ROP42" s="73"/>
      <c r="ROQ42" s="73"/>
      <c r="ROR42" s="73"/>
      <c r="ROS42" s="73"/>
      <c r="ROT42" s="73"/>
      <c r="ROU42" s="73"/>
      <c r="ROV42" s="73"/>
      <c r="ROW42" s="73"/>
      <c r="ROX42" s="73"/>
      <c r="ROY42" s="73"/>
      <c r="ROZ42" s="73"/>
      <c r="RPA42" s="73"/>
      <c r="RPB42" s="73"/>
      <c r="RPC42" s="73"/>
      <c r="RPD42" s="73"/>
      <c r="RPE42" s="73"/>
      <c r="RPF42" s="73"/>
      <c r="RPG42" s="73"/>
      <c r="RPH42" s="73"/>
      <c r="RPI42" s="73"/>
      <c r="RPJ42" s="73"/>
      <c r="RPK42" s="73"/>
      <c r="RPL42" s="73"/>
      <c r="RPM42" s="73"/>
      <c r="RPN42" s="73"/>
      <c r="RPO42" s="73"/>
      <c r="RPP42" s="73"/>
      <c r="RPQ42" s="73"/>
      <c r="RPR42" s="73"/>
      <c r="RPS42" s="73"/>
      <c r="RPT42" s="73"/>
      <c r="RPU42" s="73"/>
      <c r="RPV42" s="73"/>
      <c r="RPW42" s="73"/>
      <c r="RPX42" s="73"/>
      <c r="RPY42" s="73"/>
      <c r="RPZ42" s="73"/>
      <c r="RQA42" s="73"/>
      <c r="RQB42" s="73"/>
      <c r="RQC42" s="73"/>
      <c r="RQD42" s="73"/>
      <c r="RQE42" s="73"/>
      <c r="RQF42" s="73"/>
      <c r="RQG42" s="73"/>
      <c r="RQH42" s="73"/>
      <c r="RQI42" s="73"/>
      <c r="RQJ42" s="73"/>
      <c r="RQK42" s="73"/>
      <c r="RQL42" s="73"/>
      <c r="RQM42" s="73"/>
      <c r="RQN42" s="73"/>
      <c r="RQO42" s="73"/>
      <c r="RQP42" s="73"/>
      <c r="RQQ42" s="73"/>
      <c r="RQR42" s="73"/>
      <c r="RQS42" s="73"/>
      <c r="RQT42" s="73"/>
      <c r="RQU42" s="73"/>
      <c r="RQV42" s="73"/>
      <c r="RQW42" s="73"/>
      <c r="RQX42" s="73"/>
      <c r="RQY42" s="73"/>
      <c r="RQZ42" s="73"/>
      <c r="RRA42" s="73"/>
      <c r="RRB42" s="73"/>
      <c r="RRC42" s="73"/>
      <c r="RRD42" s="73"/>
      <c r="RRE42" s="73"/>
      <c r="RRF42" s="73"/>
      <c r="RRG42" s="73"/>
      <c r="RRH42" s="73"/>
      <c r="RRI42" s="73"/>
      <c r="RRJ42" s="73"/>
      <c r="RRK42" s="73"/>
      <c r="RRL42" s="73"/>
      <c r="RRM42" s="73"/>
      <c r="RRN42" s="73"/>
      <c r="RRO42" s="73"/>
      <c r="RRP42" s="73"/>
      <c r="RRQ42" s="73"/>
      <c r="RRR42" s="73"/>
      <c r="RRS42" s="73"/>
      <c r="RRT42" s="73"/>
      <c r="RRU42" s="73"/>
      <c r="RRV42" s="73"/>
      <c r="RRW42" s="73"/>
      <c r="RRX42" s="73"/>
      <c r="RRY42" s="73"/>
      <c r="RRZ42" s="73"/>
      <c r="RSA42" s="73"/>
      <c r="RSB42" s="73"/>
      <c r="RSC42" s="73"/>
      <c r="RSD42" s="73"/>
      <c r="RSE42" s="73"/>
      <c r="RSF42" s="73"/>
      <c r="RSG42" s="73"/>
      <c r="RSH42" s="73"/>
      <c r="RSI42" s="73"/>
      <c r="RSJ42" s="73"/>
      <c r="RSK42" s="73"/>
      <c r="RSL42" s="73"/>
      <c r="RSM42" s="73"/>
      <c r="RSN42" s="73"/>
      <c r="RSO42" s="73"/>
      <c r="RSP42" s="73"/>
      <c r="RSQ42" s="73"/>
      <c r="RSR42" s="73"/>
      <c r="RSS42" s="73"/>
      <c r="RST42" s="73"/>
      <c r="RSU42" s="73"/>
      <c r="RSV42" s="73"/>
      <c r="RSW42" s="73"/>
      <c r="RSX42" s="73"/>
      <c r="RSY42" s="73"/>
      <c r="RSZ42" s="73"/>
      <c r="RTA42" s="73"/>
      <c r="RTB42" s="73"/>
      <c r="RTC42" s="73"/>
      <c r="RTD42" s="73"/>
      <c r="RTE42" s="73"/>
      <c r="RTF42" s="73"/>
      <c r="RTG42" s="73"/>
      <c r="RTH42" s="73"/>
      <c r="RTI42" s="73"/>
      <c r="RTJ42" s="73"/>
      <c r="RTK42" s="73"/>
      <c r="RTL42" s="73"/>
      <c r="RTM42" s="73"/>
      <c r="RTN42" s="73"/>
      <c r="RTO42" s="73"/>
      <c r="RTP42" s="73"/>
      <c r="RTQ42" s="73"/>
      <c r="RTR42" s="73"/>
      <c r="RTS42" s="73"/>
      <c r="RTT42" s="73"/>
      <c r="RTU42" s="73"/>
      <c r="RTV42" s="73"/>
      <c r="RTW42" s="73"/>
      <c r="RTX42" s="73"/>
      <c r="RTY42" s="73"/>
      <c r="RTZ42" s="73"/>
      <c r="RUA42" s="73"/>
      <c r="RUB42" s="73"/>
      <c r="RUC42" s="73"/>
      <c r="RUD42" s="73"/>
      <c r="RUE42" s="73"/>
      <c r="RUF42" s="73"/>
      <c r="RUG42" s="73"/>
      <c r="RUH42" s="73"/>
      <c r="RUI42" s="73"/>
      <c r="RUJ42" s="73"/>
      <c r="RUK42" s="73"/>
      <c r="RUL42" s="73"/>
      <c r="RUM42" s="73"/>
      <c r="RUN42" s="73"/>
      <c r="RUO42" s="73"/>
      <c r="RUP42" s="73"/>
      <c r="RUQ42" s="73"/>
      <c r="RUR42" s="73"/>
      <c r="RUS42" s="73"/>
      <c r="RUT42" s="73"/>
      <c r="RUU42" s="73"/>
      <c r="RUV42" s="73"/>
      <c r="RUW42" s="73"/>
      <c r="RUX42" s="73"/>
      <c r="RUY42" s="73"/>
      <c r="RUZ42" s="73"/>
      <c r="RVA42" s="73"/>
      <c r="RVB42" s="73"/>
      <c r="RVC42" s="73"/>
      <c r="RVD42" s="73"/>
      <c r="RVE42" s="73"/>
      <c r="RVF42" s="73"/>
      <c r="RVG42" s="73"/>
      <c r="RVH42" s="73"/>
      <c r="RVI42" s="73"/>
      <c r="RVJ42" s="73"/>
      <c r="RVK42" s="73"/>
      <c r="RVL42" s="73"/>
      <c r="RVM42" s="73"/>
      <c r="RVN42" s="73"/>
      <c r="RVO42" s="73"/>
      <c r="RVP42" s="73"/>
      <c r="RVQ42" s="73"/>
      <c r="RVR42" s="73"/>
      <c r="RVS42" s="73"/>
      <c r="RVT42" s="73"/>
      <c r="RVU42" s="73"/>
      <c r="RVV42" s="73"/>
      <c r="RVW42" s="73"/>
      <c r="RVX42" s="73"/>
      <c r="RVY42" s="73"/>
      <c r="RVZ42" s="73"/>
      <c r="RWA42" s="73"/>
      <c r="RWB42" s="73"/>
      <c r="RWC42" s="73"/>
      <c r="RWD42" s="73"/>
      <c r="RWE42" s="73"/>
      <c r="RWF42" s="73"/>
      <c r="RWG42" s="73"/>
      <c r="RWH42" s="73"/>
      <c r="RWI42" s="73"/>
      <c r="RWJ42" s="73"/>
      <c r="RWK42" s="73"/>
      <c r="RWL42" s="73"/>
      <c r="RWM42" s="73"/>
      <c r="RWN42" s="73"/>
      <c r="RWO42" s="73"/>
      <c r="RWP42" s="73"/>
      <c r="RWQ42" s="73"/>
      <c r="RWR42" s="73"/>
      <c r="RWS42" s="73"/>
      <c r="RWT42" s="73"/>
      <c r="RWU42" s="73"/>
      <c r="RWV42" s="73"/>
      <c r="RWW42" s="73"/>
      <c r="RWX42" s="73"/>
      <c r="RWY42" s="73"/>
      <c r="RWZ42" s="73"/>
      <c r="RXA42" s="73"/>
      <c r="RXB42" s="73"/>
      <c r="RXC42" s="73"/>
      <c r="RXD42" s="73"/>
      <c r="RXE42" s="73"/>
      <c r="RXF42" s="73"/>
      <c r="RXG42" s="73"/>
      <c r="RXH42" s="73"/>
      <c r="RXI42" s="73"/>
      <c r="RXJ42" s="73"/>
      <c r="RXK42" s="73"/>
      <c r="RXL42" s="73"/>
      <c r="RXM42" s="73"/>
      <c r="RXN42" s="73"/>
      <c r="RXO42" s="73"/>
      <c r="RXP42" s="73"/>
      <c r="RXQ42" s="73"/>
      <c r="RXR42" s="73"/>
      <c r="RXS42" s="73"/>
      <c r="RXT42" s="73"/>
      <c r="RXU42" s="73"/>
      <c r="RXV42" s="73"/>
      <c r="RXW42" s="73"/>
      <c r="RXX42" s="73"/>
      <c r="RXY42" s="73"/>
      <c r="RXZ42" s="73"/>
      <c r="RYA42" s="73"/>
      <c r="RYB42" s="73"/>
      <c r="RYC42" s="73"/>
      <c r="RYD42" s="73"/>
      <c r="RYE42" s="73"/>
      <c r="RYF42" s="73"/>
      <c r="RYG42" s="73"/>
      <c r="RYH42" s="73"/>
      <c r="RYI42" s="73"/>
      <c r="RYJ42" s="73"/>
      <c r="RYK42" s="73"/>
      <c r="RYL42" s="73"/>
      <c r="RYM42" s="73"/>
      <c r="RYN42" s="73"/>
      <c r="RYO42" s="73"/>
      <c r="RYP42" s="73"/>
      <c r="RYQ42" s="73"/>
      <c r="RYR42" s="73"/>
      <c r="RYS42" s="73"/>
      <c r="RYT42" s="73"/>
      <c r="RYU42" s="73"/>
      <c r="RYV42" s="73"/>
      <c r="RYW42" s="73"/>
      <c r="RYX42" s="73"/>
      <c r="RYY42" s="73"/>
      <c r="RYZ42" s="73"/>
      <c r="RZA42" s="73"/>
      <c r="RZB42" s="73"/>
      <c r="RZC42" s="73"/>
      <c r="RZD42" s="73"/>
      <c r="RZE42" s="73"/>
      <c r="RZF42" s="73"/>
      <c r="RZG42" s="73"/>
      <c r="RZH42" s="73"/>
      <c r="RZI42" s="73"/>
      <c r="RZJ42" s="73"/>
      <c r="RZK42" s="73"/>
      <c r="RZL42" s="73"/>
      <c r="RZM42" s="73"/>
      <c r="RZN42" s="73"/>
      <c r="RZO42" s="73"/>
      <c r="RZP42" s="73"/>
      <c r="RZQ42" s="73"/>
      <c r="RZR42" s="73"/>
      <c r="RZS42" s="73"/>
      <c r="RZT42" s="73"/>
      <c r="RZU42" s="73"/>
      <c r="RZV42" s="73"/>
      <c r="RZW42" s="73"/>
      <c r="RZX42" s="73"/>
      <c r="RZY42" s="73"/>
      <c r="RZZ42" s="73"/>
      <c r="SAA42" s="73"/>
      <c r="SAB42" s="73"/>
      <c r="SAC42" s="73"/>
      <c r="SAD42" s="73"/>
      <c r="SAE42" s="73"/>
      <c r="SAF42" s="73"/>
      <c r="SAG42" s="73"/>
      <c r="SAH42" s="73"/>
      <c r="SAI42" s="73"/>
      <c r="SAJ42" s="73"/>
      <c r="SAK42" s="73"/>
      <c r="SAL42" s="73"/>
      <c r="SAM42" s="73"/>
      <c r="SAN42" s="73"/>
      <c r="SAO42" s="73"/>
      <c r="SAP42" s="73"/>
      <c r="SAQ42" s="73"/>
      <c r="SAR42" s="73"/>
      <c r="SAS42" s="73"/>
      <c r="SAT42" s="73"/>
      <c r="SAU42" s="73"/>
      <c r="SAV42" s="73"/>
      <c r="SAW42" s="73"/>
      <c r="SAX42" s="73"/>
      <c r="SAY42" s="73"/>
      <c r="SAZ42" s="73"/>
      <c r="SBA42" s="73"/>
      <c r="SBB42" s="73"/>
      <c r="SBC42" s="73"/>
      <c r="SBD42" s="73"/>
      <c r="SBE42" s="73"/>
      <c r="SBF42" s="73"/>
      <c r="SBG42" s="73"/>
      <c r="SBH42" s="73"/>
      <c r="SBI42" s="73"/>
      <c r="SBJ42" s="73"/>
      <c r="SBK42" s="73"/>
      <c r="SBL42" s="73"/>
      <c r="SBM42" s="73"/>
      <c r="SBN42" s="73"/>
      <c r="SBO42" s="73"/>
      <c r="SBP42" s="73"/>
      <c r="SBQ42" s="73"/>
      <c r="SBR42" s="73"/>
      <c r="SBS42" s="73"/>
      <c r="SBT42" s="73"/>
      <c r="SBU42" s="73"/>
      <c r="SBV42" s="73"/>
      <c r="SBW42" s="73"/>
      <c r="SBX42" s="73"/>
      <c r="SBY42" s="73"/>
      <c r="SBZ42" s="73"/>
      <c r="SCA42" s="73"/>
      <c r="SCB42" s="73"/>
      <c r="SCC42" s="73"/>
      <c r="SCD42" s="73"/>
      <c r="SCE42" s="73"/>
      <c r="SCF42" s="73"/>
      <c r="SCG42" s="73"/>
      <c r="SCH42" s="73"/>
      <c r="SCI42" s="73"/>
      <c r="SCJ42" s="73"/>
      <c r="SCK42" s="73"/>
      <c r="SCL42" s="73"/>
      <c r="SCM42" s="73"/>
      <c r="SCN42" s="73"/>
      <c r="SCO42" s="73"/>
      <c r="SCP42" s="73"/>
      <c r="SCQ42" s="73"/>
      <c r="SCR42" s="73"/>
      <c r="SCS42" s="73"/>
      <c r="SCT42" s="73"/>
      <c r="SCU42" s="73"/>
      <c r="SCV42" s="73"/>
      <c r="SCW42" s="73"/>
      <c r="SCX42" s="73"/>
      <c r="SCY42" s="73"/>
      <c r="SCZ42" s="73"/>
      <c r="SDA42" s="73"/>
      <c r="SDB42" s="73"/>
      <c r="SDC42" s="73"/>
      <c r="SDD42" s="73"/>
      <c r="SDE42" s="73"/>
      <c r="SDF42" s="73"/>
      <c r="SDG42" s="73"/>
      <c r="SDH42" s="73"/>
      <c r="SDI42" s="73"/>
      <c r="SDJ42" s="73"/>
      <c r="SDK42" s="73"/>
      <c r="SDL42" s="73"/>
      <c r="SDM42" s="73"/>
      <c r="SDN42" s="73"/>
      <c r="SDO42" s="73"/>
      <c r="SDP42" s="73"/>
      <c r="SDQ42" s="73"/>
      <c r="SDR42" s="73"/>
      <c r="SDS42" s="73"/>
      <c r="SDT42" s="73"/>
      <c r="SDU42" s="73"/>
      <c r="SDV42" s="73"/>
      <c r="SDW42" s="73"/>
      <c r="SDX42" s="73"/>
      <c r="SDY42" s="73"/>
      <c r="SDZ42" s="73"/>
      <c r="SEA42" s="73"/>
      <c r="SEB42" s="73"/>
      <c r="SEC42" s="73"/>
      <c r="SED42" s="73"/>
      <c r="SEE42" s="73"/>
      <c r="SEF42" s="73"/>
      <c r="SEG42" s="73"/>
      <c r="SEH42" s="73"/>
      <c r="SEI42" s="73"/>
      <c r="SEJ42" s="73"/>
      <c r="SEK42" s="73"/>
      <c r="SEL42" s="73"/>
      <c r="SEM42" s="73"/>
      <c r="SEN42" s="73"/>
      <c r="SEO42" s="73"/>
      <c r="SEP42" s="73"/>
      <c r="SEQ42" s="73"/>
      <c r="SER42" s="73"/>
      <c r="SES42" s="73"/>
      <c r="SET42" s="73"/>
      <c r="SEU42" s="73"/>
      <c r="SEV42" s="73"/>
      <c r="SEW42" s="73"/>
      <c r="SEX42" s="73"/>
      <c r="SEY42" s="73"/>
      <c r="SEZ42" s="73"/>
      <c r="SFA42" s="73"/>
      <c r="SFB42" s="73"/>
      <c r="SFC42" s="73"/>
      <c r="SFD42" s="73"/>
      <c r="SFE42" s="73"/>
      <c r="SFF42" s="73"/>
      <c r="SFG42" s="73"/>
      <c r="SFH42" s="73"/>
      <c r="SFI42" s="73"/>
      <c r="SFJ42" s="73"/>
      <c r="SFK42" s="73"/>
      <c r="SFL42" s="73"/>
      <c r="SFM42" s="73"/>
      <c r="SFN42" s="73"/>
      <c r="SFO42" s="73"/>
      <c r="SFP42" s="73"/>
      <c r="SFQ42" s="73"/>
      <c r="SFR42" s="73"/>
      <c r="SFS42" s="73"/>
      <c r="SFT42" s="73"/>
      <c r="SFU42" s="73"/>
      <c r="SFV42" s="73"/>
      <c r="SFW42" s="73"/>
      <c r="SFX42" s="73"/>
      <c r="SFY42" s="73"/>
      <c r="SFZ42" s="73"/>
      <c r="SGA42" s="73"/>
      <c r="SGB42" s="73"/>
      <c r="SGC42" s="73"/>
      <c r="SGD42" s="73"/>
      <c r="SGE42" s="73"/>
      <c r="SGF42" s="73"/>
      <c r="SGG42" s="73"/>
      <c r="SGH42" s="73"/>
      <c r="SGI42" s="73"/>
      <c r="SGJ42" s="73"/>
      <c r="SGK42" s="73"/>
      <c r="SGL42" s="73"/>
      <c r="SGM42" s="73"/>
      <c r="SGN42" s="73"/>
      <c r="SGO42" s="73"/>
      <c r="SGP42" s="73"/>
      <c r="SGQ42" s="73"/>
      <c r="SGR42" s="73"/>
      <c r="SGS42" s="73"/>
      <c r="SGT42" s="73"/>
      <c r="SGU42" s="73"/>
      <c r="SGV42" s="73"/>
      <c r="SGW42" s="73"/>
      <c r="SGX42" s="73"/>
      <c r="SGY42" s="73"/>
      <c r="SGZ42" s="73"/>
      <c r="SHA42" s="73"/>
      <c r="SHB42" s="73"/>
      <c r="SHC42" s="73"/>
      <c r="SHD42" s="73"/>
      <c r="SHE42" s="73"/>
      <c r="SHF42" s="73"/>
      <c r="SHG42" s="73"/>
      <c r="SHH42" s="73"/>
      <c r="SHI42" s="73"/>
      <c r="SHJ42" s="73"/>
      <c r="SHK42" s="73"/>
      <c r="SHL42" s="73"/>
      <c r="SHM42" s="73"/>
      <c r="SHN42" s="73"/>
      <c r="SHO42" s="73"/>
      <c r="SHP42" s="73"/>
      <c r="SHQ42" s="73"/>
      <c r="SHR42" s="73"/>
      <c r="SHS42" s="73"/>
      <c r="SHT42" s="73"/>
      <c r="SHU42" s="73"/>
      <c r="SHV42" s="73"/>
      <c r="SHW42" s="73"/>
      <c r="SHX42" s="73"/>
      <c r="SHY42" s="73"/>
      <c r="SHZ42" s="73"/>
      <c r="SIA42" s="73"/>
      <c r="SIB42" s="73"/>
      <c r="SIC42" s="73"/>
      <c r="SID42" s="73"/>
      <c r="SIE42" s="73"/>
      <c r="SIF42" s="73"/>
      <c r="SIG42" s="73"/>
      <c r="SIH42" s="73"/>
      <c r="SII42" s="73"/>
      <c r="SIJ42" s="73"/>
      <c r="SIK42" s="73"/>
      <c r="SIL42" s="73"/>
      <c r="SIM42" s="73"/>
      <c r="SIN42" s="73"/>
      <c r="SIO42" s="73"/>
      <c r="SIP42" s="73"/>
      <c r="SIQ42" s="73"/>
      <c r="SIR42" s="73"/>
      <c r="SIS42" s="73"/>
      <c r="SIT42" s="73"/>
      <c r="SIU42" s="73"/>
      <c r="SIV42" s="73"/>
      <c r="SIW42" s="73"/>
      <c r="SIX42" s="73"/>
      <c r="SIY42" s="73"/>
      <c r="SIZ42" s="73"/>
      <c r="SJA42" s="73"/>
      <c r="SJB42" s="73"/>
      <c r="SJC42" s="73"/>
      <c r="SJD42" s="73"/>
      <c r="SJE42" s="73"/>
      <c r="SJF42" s="73"/>
      <c r="SJG42" s="73"/>
      <c r="SJH42" s="73"/>
      <c r="SJI42" s="73"/>
      <c r="SJJ42" s="73"/>
      <c r="SJK42" s="73"/>
      <c r="SJL42" s="73"/>
      <c r="SJM42" s="73"/>
      <c r="SJN42" s="73"/>
      <c r="SJO42" s="73"/>
      <c r="SJP42" s="73"/>
      <c r="SJQ42" s="73"/>
      <c r="SJR42" s="73"/>
      <c r="SJS42" s="73"/>
      <c r="SJT42" s="73"/>
      <c r="SJU42" s="73"/>
      <c r="SJV42" s="73"/>
      <c r="SJW42" s="73"/>
      <c r="SJX42" s="73"/>
      <c r="SJY42" s="73"/>
      <c r="SJZ42" s="73"/>
      <c r="SKA42" s="73"/>
      <c r="SKB42" s="73"/>
      <c r="SKC42" s="73"/>
      <c r="SKD42" s="73"/>
      <c r="SKE42" s="73"/>
      <c r="SKF42" s="73"/>
      <c r="SKG42" s="73"/>
      <c r="SKH42" s="73"/>
      <c r="SKI42" s="73"/>
      <c r="SKJ42" s="73"/>
      <c r="SKK42" s="73"/>
      <c r="SKL42" s="73"/>
      <c r="SKM42" s="73"/>
      <c r="SKN42" s="73"/>
      <c r="SKO42" s="73"/>
      <c r="SKP42" s="73"/>
      <c r="SKQ42" s="73"/>
      <c r="SKR42" s="73"/>
      <c r="SKS42" s="73"/>
      <c r="SKT42" s="73"/>
      <c r="SKU42" s="73"/>
      <c r="SKV42" s="73"/>
      <c r="SKW42" s="73"/>
      <c r="SKX42" s="73"/>
      <c r="SKY42" s="73"/>
      <c r="SKZ42" s="73"/>
      <c r="SLA42" s="73"/>
      <c r="SLB42" s="73"/>
      <c r="SLC42" s="73"/>
      <c r="SLD42" s="73"/>
      <c r="SLE42" s="73"/>
      <c r="SLF42" s="73"/>
      <c r="SLG42" s="73"/>
      <c r="SLH42" s="73"/>
      <c r="SLI42" s="73"/>
      <c r="SLJ42" s="73"/>
      <c r="SLK42" s="73"/>
      <c r="SLL42" s="73"/>
      <c r="SLM42" s="73"/>
      <c r="SLN42" s="73"/>
      <c r="SLO42" s="73"/>
      <c r="SLP42" s="73"/>
      <c r="SLQ42" s="73"/>
      <c r="SLR42" s="73"/>
      <c r="SLS42" s="73"/>
      <c r="SLT42" s="73"/>
      <c r="SLU42" s="73"/>
      <c r="SLV42" s="73"/>
      <c r="SLW42" s="73"/>
      <c r="SLX42" s="73"/>
      <c r="SLY42" s="73"/>
      <c r="SLZ42" s="73"/>
      <c r="SMA42" s="73"/>
      <c r="SMB42" s="73"/>
      <c r="SMC42" s="73"/>
      <c r="SMD42" s="73"/>
      <c r="SME42" s="73"/>
      <c r="SMF42" s="73"/>
      <c r="SMG42" s="73"/>
      <c r="SMH42" s="73"/>
      <c r="SMI42" s="73"/>
      <c r="SMJ42" s="73"/>
      <c r="SMK42" s="73"/>
      <c r="SML42" s="73"/>
      <c r="SMM42" s="73"/>
      <c r="SMN42" s="73"/>
      <c r="SMO42" s="73"/>
      <c r="SMP42" s="73"/>
      <c r="SMQ42" s="73"/>
      <c r="SMR42" s="73"/>
      <c r="SMS42" s="73"/>
      <c r="SMT42" s="73"/>
      <c r="SMU42" s="73"/>
      <c r="SMV42" s="73"/>
      <c r="SMW42" s="73"/>
      <c r="SMX42" s="73"/>
      <c r="SMY42" s="73"/>
      <c r="SMZ42" s="73"/>
      <c r="SNA42" s="73"/>
      <c r="SNB42" s="73"/>
      <c r="SNC42" s="73"/>
      <c r="SND42" s="73"/>
      <c r="SNE42" s="73"/>
      <c r="SNF42" s="73"/>
      <c r="SNG42" s="73"/>
      <c r="SNH42" s="73"/>
      <c r="SNI42" s="73"/>
      <c r="SNJ42" s="73"/>
      <c r="SNK42" s="73"/>
      <c r="SNL42" s="73"/>
      <c r="SNM42" s="73"/>
      <c r="SNN42" s="73"/>
      <c r="SNO42" s="73"/>
      <c r="SNP42" s="73"/>
      <c r="SNQ42" s="73"/>
      <c r="SNR42" s="73"/>
      <c r="SNS42" s="73"/>
      <c r="SNT42" s="73"/>
      <c r="SNU42" s="73"/>
      <c r="SNV42" s="73"/>
      <c r="SNW42" s="73"/>
      <c r="SNX42" s="73"/>
      <c r="SNY42" s="73"/>
      <c r="SNZ42" s="73"/>
      <c r="SOA42" s="73"/>
      <c r="SOB42" s="73"/>
      <c r="SOC42" s="73"/>
      <c r="SOD42" s="73"/>
      <c r="SOE42" s="73"/>
      <c r="SOF42" s="73"/>
      <c r="SOG42" s="73"/>
      <c r="SOH42" s="73"/>
      <c r="SOI42" s="73"/>
      <c r="SOJ42" s="73"/>
      <c r="SOK42" s="73"/>
      <c r="SOL42" s="73"/>
      <c r="SOM42" s="73"/>
      <c r="SON42" s="73"/>
      <c r="SOO42" s="73"/>
      <c r="SOP42" s="73"/>
      <c r="SOQ42" s="73"/>
      <c r="SOR42" s="73"/>
      <c r="SOS42" s="73"/>
      <c r="SOT42" s="73"/>
      <c r="SOU42" s="73"/>
      <c r="SOV42" s="73"/>
      <c r="SOW42" s="73"/>
      <c r="SOX42" s="73"/>
      <c r="SOY42" s="73"/>
      <c r="SOZ42" s="73"/>
      <c r="SPA42" s="73"/>
      <c r="SPB42" s="73"/>
      <c r="SPC42" s="73"/>
      <c r="SPD42" s="73"/>
      <c r="SPE42" s="73"/>
      <c r="SPF42" s="73"/>
      <c r="SPG42" s="73"/>
      <c r="SPH42" s="73"/>
      <c r="SPI42" s="73"/>
      <c r="SPJ42" s="73"/>
      <c r="SPK42" s="73"/>
      <c r="SPL42" s="73"/>
      <c r="SPM42" s="73"/>
      <c r="SPN42" s="73"/>
      <c r="SPO42" s="73"/>
      <c r="SPP42" s="73"/>
      <c r="SPQ42" s="73"/>
      <c r="SPR42" s="73"/>
      <c r="SPS42" s="73"/>
      <c r="SPT42" s="73"/>
      <c r="SPU42" s="73"/>
      <c r="SPV42" s="73"/>
      <c r="SPW42" s="73"/>
      <c r="SPX42" s="73"/>
      <c r="SPY42" s="73"/>
      <c r="SPZ42" s="73"/>
      <c r="SQA42" s="73"/>
      <c r="SQB42" s="73"/>
      <c r="SQC42" s="73"/>
      <c r="SQD42" s="73"/>
      <c r="SQE42" s="73"/>
      <c r="SQF42" s="73"/>
      <c r="SQG42" s="73"/>
      <c r="SQH42" s="73"/>
      <c r="SQI42" s="73"/>
      <c r="SQJ42" s="73"/>
      <c r="SQK42" s="73"/>
      <c r="SQL42" s="73"/>
      <c r="SQM42" s="73"/>
      <c r="SQN42" s="73"/>
      <c r="SQO42" s="73"/>
      <c r="SQP42" s="73"/>
      <c r="SQQ42" s="73"/>
      <c r="SQR42" s="73"/>
      <c r="SQS42" s="73"/>
      <c r="SQT42" s="73"/>
      <c r="SQU42" s="73"/>
      <c r="SQV42" s="73"/>
      <c r="SQW42" s="73"/>
      <c r="SQX42" s="73"/>
      <c r="SQY42" s="73"/>
      <c r="SQZ42" s="73"/>
      <c r="SRA42" s="73"/>
      <c r="SRB42" s="73"/>
      <c r="SRC42" s="73"/>
      <c r="SRD42" s="73"/>
      <c r="SRE42" s="73"/>
      <c r="SRF42" s="73"/>
      <c r="SRG42" s="73"/>
      <c r="SRH42" s="73"/>
      <c r="SRI42" s="73"/>
      <c r="SRJ42" s="73"/>
      <c r="SRK42" s="73"/>
      <c r="SRL42" s="73"/>
      <c r="SRM42" s="73"/>
      <c r="SRN42" s="73"/>
      <c r="SRO42" s="73"/>
      <c r="SRP42" s="73"/>
      <c r="SRQ42" s="73"/>
      <c r="SRR42" s="73"/>
      <c r="SRS42" s="73"/>
      <c r="SRT42" s="73"/>
      <c r="SRU42" s="73"/>
      <c r="SRV42" s="73"/>
      <c r="SRW42" s="73"/>
      <c r="SRX42" s="73"/>
      <c r="SRY42" s="73"/>
      <c r="SRZ42" s="73"/>
      <c r="SSA42" s="73"/>
      <c r="SSB42" s="73"/>
      <c r="SSC42" s="73"/>
      <c r="SSD42" s="73"/>
      <c r="SSE42" s="73"/>
      <c r="SSF42" s="73"/>
      <c r="SSG42" s="73"/>
      <c r="SSH42" s="73"/>
      <c r="SSI42" s="73"/>
      <c r="SSJ42" s="73"/>
      <c r="SSK42" s="73"/>
      <c r="SSL42" s="73"/>
      <c r="SSM42" s="73"/>
      <c r="SSN42" s="73"/>
      <c r="SSO42" s="73"/>
      <c r="SSP42" s="73"/>
      <c r="SSQ42" s="73"/>
      <c r="SSR42" s="73"/>
      <c r="SSS42" s="73"/>
      <c r="SST42" s="73"/>
      <c r="SSU42" s="73"/>
      <c r="SSV42" s="73"/>
      <c r="SSW42" s="73"/>
      <c r="SSX42" s="73"/>
      <c r="SSY42" s="73"/>
      <c r="SSZ42" s="73"/>
      <c r="STA42" s="73"/>
      <c r="STB42" s="73"/>
      <c r="STC42" s="73"/>
      <c r="STD42" s="73"/>
      <c r="STE42" s="73"/>
      <c r="STF42" s="73"/>
      <c r="STG42" s="73"/>
      <c r="STH42" s="73"/>
      <c r="STI42" s="73"/>
      <c r="STJ42" s="73"/>
      <c r="STK42" s="73"/>
      <c r="STL42" s="73"/>
      <c r="STM42" s="73"/>
      <c r="STN42" s="73"/>
      <c r="STO42" s="73"/>
      <c r="STP42" s="73"/>
      <c r="STQ42" s="73"/>
      <c r="STR42" s="73"/>
      <c r="STS42" s="73"/>
      <c r="STT42" s="73"/>
      <c r="STU42" s="73"/>
      <c r="STV42" s="73"/>
      <c r="STW42" s="73"/>
      <c r="STX42" s="73"/>
      <c r="STY42" s="73"/>
      <c r="STZ42" s="73"/>
      <c r="SUA42" s="73"/>
      <c r="SUB42" s="73"/>
      <c r="SUC42" s="73"/>
      <c r="SUD42" s="73"/>
      <c r="SUE42" s="73"/>
      <c r="SUF42" s="73"/>
      <c r="SUG42" s="73"/>
      <c r="SUH42" s="73"/>
      <c r="SUI42" s="73"/>
      <c r="SUJ42" s="73"/>
      <c r="SUK42" s="73"/>
      <c r="SUL42" s="73"/>
      <c r="SUM42" s="73"/>
      <c r="SUN42" s="73"/>
      <c r="SUO42" s="73"/>
      <c r="SUP42" s="73"/>
      <c r="SUQ42" s="73"/>
      <c r="SUR42" s="73"/>
      <c r="SUS42" s="73"/>
      <c r="SUT42" s="73"/>
      <c r="SUU42" s="73"/>
      <c r="SUV42" s="73"/>
      <c r="SUW42" s="73"/>
      <c r="SUX42" s="73"/>
      <c r="SUY42" s="73"/>
      <c r="SUZ42" s="73"/>
      <c r="SVA42" s="73"/>
      <c r="SVB42" s="73"/>
      <c r="SVC42" s="73"/>
      <c r="SVD42" s="73"/>
      <c r="SVE42" s="73"/>
      <c r="SVF42" s="73"/>
      <c r="SVG42" s="73"/>
      <c r="SVH42" s="73"/>
      <c r="SVI42" s="73"/>
      <c r="SVJ42" s="73"/>
      <c r="SVK42" s="73"/>
      <c r="SVL42" s="73"/>
      <c r="SVM42" s="73"/>
      <c r="SVN42" s="73"/>
      <c r="SVO42" s="73"/>
      <c r="SVP42" s="73"/>
      <c r="SVQ42" s="73"/>
      <c r="SVR42" s="73"/>
      <c r="SVS42" s="73"/>
      <c r="SVT42" s="73"/>
      <c r="SVU42" s="73"/>
      <c r="SVV42" s="73"/>
      <c r="SVW42" s="73"/>
      <c r="SVX42" s="73"/>
      <c r="SVY42" s="73"/>
      <c r="SVZ42" s="73"/>
      <c r="SWA42" s="73"/>
      <c r="SWB42" s="73"/>
      <c r="SWC42" s="73"/>
      <c r="SWD42" s="73"/>
      <c r="SWE42" s="73"/>
      <c r="SWF42" s="73"/>
      <c r="SWG42" s="73"/>
      <c r="SWH42" s="73"/>
      <c r="SWI42" s="73"/>
      <c r="SWJ42" s="73"/>
      <c r="SWK42" s="73"/>
      <c r="SWL42" s="73"/>
      <c r="SWM42" s="73"/>
      <c r="SWN42" s="73"/>
      <c r="SWO42" s="73"/>
      <c r="SWP42" s="73"/>
      <c r="SWQ42" s="73"/>
      <c r="SWR42" s="73"/>
      <c r="SWS42" s="73"/>
      <c r="SWT42" s="73"/>
      <c r="SWU42" s="73"/>
      <c r="SWV42" s="73"/>
      <c r="SWW42" s="73"/>
      <c r="SWX42" s="73"/>
      <c r="SWY42" s="73"/>
      <c r="SWZ42" s="73"/>
      <c r="SXA42" s="73"/>
      <c r="SXB42" s="73"/>
      <c r="SXC42" s="73"/>
      <c r="SXD42" s="73"/>
      <c r="SXE42" s="73"/>
      <c r="SXF42" s="73"/>
      <c r="SXG42" s="73"/>
      <c r="SXH42" s="73"/>
      <c r="SXI42" s="73"/>
      <c r="SXJ42" s="73"/>
      <c r="SXK42" s="73"/>
      <c r="SXL42" s="73"/>
      <c r="SXM42" s="73"/>
      <c r="SXN42" s="73"/>
      <c r="SXO42" s="73"/>
      <c r="SXP42" s="73"/>
      <c r="SXQ42" s="73"/>
      <c r="SXR42" s="73"/>
      <c r="SXS42" s="73"/>
      <c r="SXT42" s="73"/>
      <c r="SXU42" s="73"/>
      <c r="SXV42" s="73"/>
      <c r="SXW42" s="73"/>
      <c r="SXX42" s="73"/>
      <c r="SXY42" s="73"/>
      <c r="SXZ42" s="73"/>
      <c r="SYA42" s="73"/>
      <c r="SYB42" s="73"/>
      <c r="SYC42" s="73"/>
      <c r="SYD42" s="73"/>
      <c r="SYE42" s="73"/>
      <c r="SYF42" s="73"/>
      <c r="SYG42" s="73"/>
      <c r="SYH42" s="73"/>
      <c r="SYI42" s="73"/>
      <c r="SYJ42" s="73"/>
      <c r="SYK42" s="73"/>
      <c r="SYL42" s="73"/>
      <c r="SYM42" s="73"/>
      <c r="SYN42" s="73"/>
      <c r="SYO42" s="73"/>
      <c r="SYP42" s="73"/>
      <c r="SYQ42" s="73"/>
      <c r="SYR42" s="73"/>
      <c r="SYS42" s="73"/>
      <c r="SYT42" s="73"/>
      <c r="SYU42" s="73"/>
      <c r="SYV42" s="73"/>
      <c r="SYW42" s="73"/>
      <c r="SYX42" s="73"/>
      <c r="SYY42" s="73"/>
      <c r="SYZ42" s="73"/>
      <c r="SZA42" s="73"/>
      <c r="SZB42" s="73"/>
      <c r="SZC42" s="73"/>
      <c r="SZD42" s="73"/>
      <c r="SZE42" s="73"/>
      <c r="SZF42" s="73"/>
      <c r="SZG42" s="73"/>
      <c r="SZH42" s="73"/>
      <c r="SZI42" s="73"/>
      <c r="SZJ42" s="73"/>
      <c r="SZK42" s="73"/>
      <c r="SZL42" s="73"/>
      <c r="SZM42" s="73"/>
      <c r="SZN42" s="73"/>
      <c r="SZO42" s="73"/>
      <c r="SZP42" s="73"/>
      <c r="SZQ42" s="73"/>
      <c r="SZR42" s="73"/>
      <c r="SZS42" s="73"/>
      <c r="SZT42" s="73"/>
      <c r="SZU42" s="73"/>
      <c r="SZV42" s="73"/>
      <c r="SZW42" s="73"/>
      <c r="SZX42" s="73"/>
      <c r="SZY42" s="73"/>
      <c r="SZZ42" s="73"/>
      <c r="TAA42" s="73"/>
      <c r="TAB42" s="73"/>
      <c r="TAC42" s="73"/>
      <c r="TAD42" s="73"/>
      <c r="TAE42" s="73"/>
      <c r="TAF42" s="73"/>
      <c r="TAG42" s="73"/>
      <c r="TAH42" s="73"/>
      <c r="TAI42" s="73"/>
      <c r="TAJ42" s="73"/>
      <c r="TAK42" s="73"/>
      <c r="TAL42" s="73"/>
      <c r="TAM42" s="73"/>
      <c r="TAN42" s="73"/>
      <c r="TAO42" s="73"/>
      <c r="TAP42" s="73"/>
      <c r="TAQ42" s="73"/>
      <c r="TAR42" s="73"/>
      <c r="TAS42" s="73"/>
      <c r="TAT42" s="73"/>
      <c r="TAU42" s="73"/>
      <c r="TAV42" s="73"/>
      <c r="TAW42" s="73"/>
      <c r="TAX42" s="73"/>
      <c r="TAY42" s="73"/>
      <c r="TAZ42" s="73"/>
      <c r="TBA42" s="73"/>
      <c r="TBB42" s="73"/>
      <c r="TBC42" s="73"/>
      <c r="TBD42" s="73"/>
      <c r="TBE42" s="73"/>
      <c r="TBF42" s="73"/>
      <c r="TBG42" s="73"/>
      <c r="TBH42" s="73"/>
      <c r="TBI42" s="73"/>
      <c r="TBJ42" s="73"/>
      <c r="TBK42" s="73"/>
      <c r="TBL42" s="73"/>
      <c r="TBM42" s="73"/>
      <c r="TBN42" s="73"/>
      <c r="TBO42" s="73"/>
      <c r="TBP42" s="73"/>
      <c r="TBQ42" s="73"/>
      <c r="TBR42" s="73"/>
      <c r="TBS42" s="73"/>
      <c r="TBT42" s="73"/>
      <c r="TBU42" s="73"/>
      <c r="TBV42" s="73"/>
      <c r="TBW42" s="73"/>
      <c r="TBX42" s="73"/>
      <c r="TBY42" s="73"/>
      <c r="TBZ42" s="73"/>
      <c r="TCA42" s="73"/>
      <c r="TCB42" s="73"/>
      <c r="TCC42" s="73"/>
      <c r="TCD42" s="73"/>
      <c r="TCE42" s="73"/>
      <c r="TCF42" s="73"/>
      <c r="TCG42" s="73"/>
      <c r="TCH42" s="73"/>
      <c r="TCI42" s="73"/>
      <c r="TCJ42" s="73"/>
      <c r="TCK42" s="73"/>
      <c r="TCL42" s="73"/>
      <c r="TCM42" s="73"/>
      <c r="TCN42" s="73"/>
      <c r="TCO42" s="73"/>
      <c r="TCP42" s="73"/>
      <c r="TCQ42" s="73"/>
      <c r="TCR42" s="73"/>
      <c r="TCS42" s="73"/>
      <c r="TCT42" s="73"/>
      <c r="TCU42" s="73"/>
      <c r="TCV42" s="73"/>
      <c r="TCW42" s="73"/>
      <c r="TCX42" s="73"/>
      <c r="TCY42" s="73"/>
      <c r="TCZ42" s="73"/>
      <c r="TDA42" s="73"/>
      <c r="TDB42" s="73"/>
      <c r="TDC42" s="73"/>
      <c r="TDD42" s="73"/>
      <c r="TDE42" s="73"/>
      <c r="TDF42" s="73"/>
      <c r="TDG42" s="73"/>
      <c r="TDH42" s="73"/>
      <c r="TDI42" s="73"/>
      <c r="TDJ42" s="73"/>
      <c r="TDK42" s="73"/>
      <c r="TDL42" s="73"/>
      <c r="TDM42" s="73"/>
      <c r="TDN42" s="73"/>
      <c r="TDO42" s="73"/>
      <c r="TDP42" s="73"/>
      <c r="TDQ42" s="73"/>
      <c r="TDR42" s="73"/>
      <c r="TDS42" s="73"/>
      <c r="TDT42" s="73"/>
      <c r="TDU42" s="73"/>
      <c r="TDV42" s="73"/>
      <c r="TDW42" s="73"/>
      <c r="TDX42" s="73"/>
      <c r="TDY42" s="73"/>
      <c r="TDZ42" s="73"/>
      <c r="TEA42" s="73"/>
      <c r="TEB42" s="73"/>
      <c r="TEC42" s="73"/>
      <c r="TED42" s="73"/>
      <c r="TEE42" s="73"/>
      <c r="TEF42" s="73"/>
      <c r="TEG42" s="73"/>
      <c r="TEH42" s="73"/>
      <c r="TEI42" s="73"/>
      <c r="TEJ42" s="73"/>
      <c r="TEK42" s="73"/>
      <c r="TEL42" s="73"/>
      <c r="TEM42" s="73"/>
      <c r="TEN42" s="73"/>
      <c r="TEO42" s="73"/>
      <c r="TEP42" s="73"/>
      <c r="TEQ42" s="73"/>
      <c r="TER42" s="73"/>
      <c r="TES42" s="73"/>
      <c r="TET42" s="73"/>
      <c r="TEU42" s="73"/>
      <c r="TEV42" s="73"/>
      <c r="TEW42" s="73"/>
      <c r="TEX42" s="73"/>
      <c r="TEY42" s="73"/>
      <c r="TEZ42" s="73"/>
      <c r="TFA42" s="73"/>
      <c r="TFB42" s="73"/>
      <c r="TFC42" s="73"/>
      <c r="TFD42" s="73"/>
      <c r="TFE42" s="73"/>
      <c r="TFF42" s="73"/>
      <c r="TFG42" s="73"/>
      <c r="TFH42" s="73"/>
      <c r="TFI42" s="73"/>
      <c r="TFJ42" s="73"/>
      <c r="TFK42" s="73"/>
      <c r="TFL42" s="73"/>
      <c r="TFM42" s="73"/>
      <c r="TFN42" s="73"/>
      <c r="TFO42" s="73"/>
      <c r="TFP42" s="73"/>
      <c r="TFQ42" s="73"/>
      <c r="TFR42" s="73"/>
      <c r="TFS42" s="73"/>
      <c r="TFT42" s="73"/>
      <c r="TFU42" s="73"/>
      <c r="TFV42" s="73"/>
      <c r="TFW42" s="73"/>
      <c r="TFX42" s="73"/>
      <c r="TFY42" s="73"/>
      <c r="TFZ42" s="73"/>
      <c r="TGA42" s="73"/>
      <c r="TGB42" s="73"/>
      <c r="TGC42" s="73"/>
      <c r="TGD42" s="73"/>
      <c r="TGE42" s="73"/>
      <c r="TGF42" s="73"/>
      <c r="TGG42" s="73"/>
      <c r="TGH42" s="73"/>
      <c r="TGI42" s="73"/>
      <c r="TGJ42" s="73"/>
      <c r="TGK42" s="73"/>
      <c r="TGL42" s="73"/>
      <c r="TGM42" s="73"/>
      <c r="TGN42" s="73"/>
      <c r="TGO42" s="73"/>
      <c r="TGP42" s="73"/>
      <c r="TGQ42" s="73"/>
      <c r="TGR42" s="73"/>
      <c r="TGS42" s="73"/>
      <c r="TGT42" s="73"/>
      <c r="TGU42" s="73"/>
      <c r="TGV42" s="73"/>
      <c r="TGW42" s="73"/>
      <c r="TGX42" s="73"/>
      <c r="TGY42" s="73"/>
      <c r="TGZ42" s="73"/>
      <c r="THA42" s="73"/>
      <c r="THB42" s="73"/>
      <c r="THC42" s="73"/>
      <c r="THD42" s="73"/>
      <c r="THE42" s="73"/>
      <c r="THF42" s="73"/>
      <c r="THG42" s="73"/>
      <c r="THH42" s="73"/>
      <c r="THI42" s="73"/>
      <c r="THJ42" s="73"/>
      <c r="THK42" s="73"/>
      <c r="THL42" s="73"/>
      <c r="THM42" s="73"/>
      <c r="THN42" s="73"/>
      <c r="THO42" s="73"/>
      <c r="THP42" s="73"/>
      <c r="THQ42" s="73"/>
      <c r="THR42" s="73"/>
      <c r="THS42" s="73"/>
      <c r="THT42" s="73"/>
      <c r="THU42" s="73"/>
      <c r="THV42" s="73"/>
      <c r="THW42" s="73"/>
      <c r="THX42" s="73"/>
      <c r="THY42" s="73"/>
      <c r="THZ42" s="73"/>
      <c r="TIA42" s="73"/>
      <c r="TIB42" s="73"/>
      <c r="TIC42" s="73"/>
      <c r="TID42" s="73"/>
      <c r="TIE42" s="73"/>
      <c r="TIF42" s="73"/>
      <c r="TIG42" s="73"/>
      <c r="TIH42" s="73"/>
      <c r="TII42" s="73"/>
      <c r="TIJ42" s="73"/>
      <c r="TIK42" s="73"/>
      <c r="TIL42" s="73"/>
      <c r="TIM42" s="73"/>
      <c r="TIN42" s="73"/>
      <c r="TIO42" s="73"/>
      <c r="TIP42" s="73"/>
      <c r="TIQ42" s="73"/>
      <c r="TIR42" s="73"/>
      <c r="TIS42" s="73"/>
      <c r="TIT42" s="73"/>
      <c r="TIU42" s="73"/>
      <c r="TIV42" s="73"/>
      <c r="TIW42" s="73"/>
      <c r="TIX42" s="73"/>
      <c r="TIY42" s="73"/>
      <c r="TIZ42" s="73"/>
      <c r="TJA42" s="73"/>
      <c r="TJB42" s="73"/>
      <c r="TJC42" s="73"/>
      <c r="TJD42" s="73"/>
      <c r="TJE42" s="73"/>
      <c r="TJF42" s="73"/>
      <c r="TJG42" s="73"/>
      <c r="TJH42" s="73"/>
      <c r="TJI42" s="73"/>
      <c r="TJJ42" s="73"/>
      <c r="TJK42" s="73"/>
      <c r="TJL42" s="73"/>
      <c r="TJM42" s="73"/>
      <c r="TJN42" s="73"/>
      <c r="TJO42" s="73"/>
      <c r="TJP42" s="73"/>
      <c r="TJQ42" s="73"/>
      <c r="TJR42" s="73"/>
      <c r="TJS42" s="73"/>
      <c r="TJT42" s="73"/>
      <c r="TJU42" s="73"/>
      <c r="TJV42" s="73"/>
      <c r="TJW42" s="73"/>
      <c r="TJX42" s="73"/>
      <c r="TJY42" s="73"/>
      <c r="TJZ42" s="73"/>
      <c r="TKA42" s="73"/>
      <c r="TKB42" s="73"/>
      <c r="TKC42" s="73"/>
      <c r="TKD42" s="73"/>
      <c r="TKE42" s="73"/>
      <c r="TKF42" s="73"/>
      <c r="TKG42" s="73"/>
      <c r="TKH42" s="73"/>
      <c r="TKI42" s="73"/>
      <c r="TKJ42" s="73"/>
      <c r="TKK42" s="73"/>
      <c r="TKL42" s="73"/>
      <c r="TKM42" s="73"/>
      <c r="TKN42" s="73"/>
      <c r="TKO42" s="73"/>
      <c r="TKP42" s="73"/>
      <c r="TKQ42" s="73"/>
      <c r="TKR42" s="73"/>
      <c r="TKS42" s="73"/>
      <c r="TKT42" s="73"/>
      <c r="TKU42" s="73"/>
      <c r="TKV42" s="73"/>
      <c r="TKW42" s="73"/>
      <c r="TKX42" s="73"/>
      <c r="TKY42" s="73"/>
      <c r="TKZ42" s="73"/>
      <c r="TLA42" s="73"/>
      <c r="TLB42" s="73"/>
      <c r="TLC42" s="73"/>
      <c r="TLD42" s="73"/>
      <c r="TLE42" s="73"/>
      <c r="TLF42" s="73"/>
      <c r="TLG42" s="73"/>
      <c r="TLH42" s="73"/>
      <c r="TLI42" s="73"/>
      <c r="TLJ42" s="73"/>
      <c r="TLK42" s="73"/>
      <c r="TLL42" s="73"/>
      <c r="TLM42" s="73"/>
      <c r="TLN42" s="73"/>
      <c r="TLO42" s="73"/>
      <c r="TLP42" s="73"/>
      <c r="TLQ42" s="73"/>
      <c r="TLR42" s="73"/>
      <c r="TLS42" s="73"/>
      <c r="TLT42" s="73"/>
      <c r="TLU42" s="73"/>
      <c r="TLV42" s="73"/>
      <c r="TLW42" s="73"/>
      <c r="TLX42" s="73"/>
      <c r="TLY42" s="73"/>
      <c r="TLZ42" s="73"/>
      <c r="TMA42" s="73"/>
      <c r="TMB42" s="73"/>
      <c r="TMC42" s="73"/>
      <c r="TMD42" s="73"/>
      <c r="TME42" s="73"/>
      <c r="TMF42" s="73"/>
      <c r="TMG42" s="73"/>
      <c r="TMH42" s="73"/>
      <c r="TMI42" s="73"/>
      <c r="TMJ42" s="73"/>
      <c r="TMK42" s="73"/>
      <c r="TML42" s="73"/>
      <c r="TMM42" s="73"/>
      <c r="TMN42" s="73"/>
      <c r="TMO42" s="73"/>
      <c r="TMP42" s="73"/>
      <c r="TMQ42" s="73"/>
      <c r="TMR42" s="73"/>
      <c r="TMS42" s="73"/>
      <c r="TMT42" s="73"/>
      <c r="TMU42" s="73"/>
      <c r="TMV42" s="73"/>
      <c r="TMW42" s="73"/>
      <c r="TMX42" s="73"/>
      <c r="TMY42" s="73"/>
      <c r="TMZ42" s="73"/>
      <c r="TNA42" s="73"/>
      <c r="TNB42" s="73"/>
      <c r="TNC42" s="73"/>
      <c r="TND42" s="73"/>
      <c r="TNE42" s="73"/>
      <c r="TNF42" s="73"/>
      <c r="TNG42" s="73"/>
      <c r="TNH42" s="73"/>
      <c r="TNI42" s="73"/>
      <c r="TNJ42" s="73"/>
      <c r="TNK42" s="73"/>
      <c r="TNL42" s="73"/>
      <c r="TNM42" s="73"/>
      <c r="TNN42" s="73"/>
      <c r="TNO42" s="73"/>
      <c r="TNP42" s="73"/>
      <c r="TNQ42" s="73"/>
      <c r="TNR42" s="73"/>
      <c r="TNS42" s="73"/>
      <c r="TNT42" s="73"/>
      <c r="TNU42" s="73"/>
      <c r="TNV42" s="73"/>
      <c r="TNW42" s="73"/>
      <c r="TNX42" s="73"/>
      <c r="TNY42" s="73"/>
      <c r="TNZ42" s="73"/>
      <c r="TOA42" s="73"/>
      <c r="TOB42" s="73"/>
      <c r="TOC42" s="73"/>
      <c r="TOD42" s="73"/>
      <c r="TOE42" s="73"/>
      <c r="TOF42" s="73"/>
      <c r="TOG42" s="73"/>
      <c r="TOH42" s="73"/>
      <c r="TOI42" s="73"/>
      <c r="TOJ42" s="73"/>
      <c r="TOK42" s="73"/>
      <c r="TOL42" s="73"/>
      <c r="TOM42" s="73"/>
      <c r="TON42" s="73"/>
      <c r="TOO42" s="73"/>
      <c r="TOP42" s="73"/>
      <c r="TOQ42" s="73"/>
      <c r="TOR42" s="73"/>
      <c r="TOS42" s="73"/>
      <c r="TOT42" s="73"/>
      <c r="TOU42" s="73"/>
      <c r="TOV42" s="73"/>
      <c r="TOW42" s="73"/>
      <c r="TOX42" s="73"/>
      <c r="TOY42" s="73"/>
      <c r="TOZ42" s="73"/>
      <c r="TPA42" s="73"/>
      <c r="TPB42" s="73"/>
      <c r="TPC42" s="73"/>
      <c r="TPD42" s="73"/>
      <c r="TPE42" s="73"/>
      <c r="TPF42" s="73"/>
      <c r="TPG42" s="73"/>
      <c r="TPH42" s="73"/>
      <c r="TPI42" s="73"/>
      <c r="TPJ42" s="73"/>
      <c r="TPK42" s="73"/>
      <c r="TPL42" s="73"/>
      <c r="TPM42" s="73"/>
      <c r="TPN42" s="73"/>
      <c r="TPO42" s="73"/>
      <c r="TPP42" s="73"/>
      <c r="TPQ42" s="73"/>
      <c r="TPR42" s="73"/>
      <c r="TPS42" s="73"/>
      <c r="TPT42" s="73"/>
      <c r="TPU42" s="73"/>
      <c r="TPV42" s="73"/>
      <c r="TPW42" s="73"/>
      <c r="TPX42" s="73"/>
      <c r="TPY42" s="73"/>
      <c r="TPZ42" s="73"/>
      <c r="TQA42" s="73"/>
      <c r="TQB42" s="73"/>
      <c r="TQC42" s="73"/>
      <c r="TQD42" s="73"/>
      <c r="TQE42" s="73"/>
      <c r="TQF42" s="73"/>
      <c r="TQG42" s="73"/>
      <c r="TQH42" s="73"/>
      <c r="TQI42" s="73"/>
      <c r="TQJ42" s="73"/>
      <c r="TQK42" s="73"/>
      <c r="TQL42" s="73"/>
      <c r="TQM42" s="73"/>
      <c r="TQN42" s="73"/>
      <c r="TQO42" s="73"/>
      <c r="TQP42" s="73"/>
      <c r="TQQ42" s="73"/>
      <c r="TQR42" s="73"/>
      <c r="TQS42" s="73"/>
      <c r="TQT42" s="73"/>
      <c r="TQU42" s="73"/>
      <c r="TQV42" s="73"/>
      <c r="TQW42" s="73"/>
      <c r="TQX42" s="73"/>
      <c r="TQY42" s="73"/>
      <c r="TQZ42" s="73"/>
      <c r="TRA42" s="73"/>
      <c r="TRB42" s="73"/>
      <c r="TRC42" s="73"/>
      <c r="TRD42" s="73"/>
      <c r="TRE42" s="73"/>
      <c r="TRF42" s="73"/>
      <c r="TRG42" s="73"/>
      <c r="TRH42" s="73"/>
      <c r="TRI42" s="73"/>
      <c r="TRJ42" s="73"/>
      <c r="TRK42" s="73"/>
      <c r="TRL42" s="73"/>
      <c r="TRM42" s="73"/>
      <c r="TRN42" s="73"/>
      <c r="TRO42" s="73"/>
      <c r="TRP42" s="73"/>
      <c r="TRQ42" s="73"/>
      <c r="TRR42" s="73"/>
      <c r="TRS42" s="73"/>
      <c r="TRT42" s="73"/>
      <c r="TRU42" s="73"/>
      <c r="TRV42" s="73"/>
      <c r="TRW42" s="73"/>
      <c r="TRX42" s="73"/>
      <c r="TRY42" s="73"/>
      <c r="TRZ42" s="73"/>
      <c r="TSA42" s="73"/>
      <c r="TSB42" s="73"/>
      <c r="TSC42" s="73"/>
      <c r="TSD42" s="73"/>
      <c r="TSE42" s="73"/>
      <c r="TSF42" s="73"/>
      <c r="TSG42" s="73"/>
      <c r="TSH42" s="73"/>
      <c r="TSI42" s="73"/>
      <c r="TSJ42" s="73"/>
      <c r="TSK42" s="73"/>
      <c r="TSL42" s="73"/>
      <c r="TSM42" s="73"/>
      <c r="TSN42" s="73"/>
      <c r="TSO42" s="73"/>
      <c r="TSP42" s="73"/>
      <c r="TSQ42" s="73"/>
      <c r="TSR42" s="73"/>
      <c r="TSS42" s="73"/>
      <c r="TST42" s="73"/>
      <c r="TSU42" s="73"/>
      <c r="TSV42" s="73"/>
      <c r="TSW42" s="73"/>
      <c r="TSX42" s="73"/>
      <c r="TSY42" s="73"/>
      <c r="TSZ42" s="73"/>
      <c r="TTA42" s="73"/>
      <c r="TTB42" s="73"/>
      <c r="TTC42" s="73"/>
      <c r="TTD42" s="73"/>
      <c r="TTE42" s="73"/>
      <c r="TTF42" s="73"/>
      <c r="TTG42" s="73"/>
      <c r="TTH42" s="73"/>
      <c r="TTI42" s="73"/>
      <c r="TTJ42" s="73"/>
      <c r="TTK42" s="73"/>
      <c r="TTL42" s="73"/>
      <c r="TTM42" s="73"/>
      <c r="TTN42" s="73"/>
      <c r="TTO42" s="73"/>
      <c r="TTP42" s="73"/>
      <c r="TTQ42" s="73"/>
      <c r="TTR42" s="73"/>
      <c r="TTS42" s="73"/>
      <c r="TTT42" s="73"/>
      <c r="TTU42" s="73"/>
      <c r="TTV42" s="73"/>
      <c r="TTW42" s="73"/>
      <c r="TTX42" s="73"/>
      <c r="TTY42" s="73"/>
      <c r="TTZ42" s="73"/>
      <c r="TUA42" s="73"/>
      <c r="TUB42" s="73"/>
      <c r="TUC42" s="73"/>
      <c r="TUD42" s="73"/>
      <c r="TUE42" s="73"/>
      <c r="TUF42" s="73"/>
      <c r="TUG42" s="73"/>
      <c r="TUH42" s="73"/>
      <c r="TUI42" s="73"/>
      <c r="TUJ42" s="73"/>
      <c r="TUK42" s="73"/>
      <c r="TUL42" s="73"/>
      <c r="TUM42" s="73"/>
      <c r="TUN42" s="73"/>
      <c r="TUO42" s="73"/>
      <c r="TUP42" s="73"/>
      <c r="TUQ42" s="73"/>
      <c r="TUR42" s="73"/>
      <c r="TUS42" s="73"/>
      <c r="TUT42" s="73"/>
      <c r="TUU42" s="73"/>
      <c r="TUV42" s="73"/>
      <c r="TUW42" s="73"/>
      <c r="TUX42" s="73"/>
      <c r="TUY42" s="73"/>
      <c r="TUZ42" s="73"/>
      <c r="TVA42" s="73"/>
      <c r="TVB42" s="73"/>
      <c r="TVC42" s="73"/>
      <c r="TVD42" s="73"/>
      <c r="TVE42" s="73"/>
      <c r="TVF42" s="73"/>
      <c r="TVG42" s="73"/>
      <c r="TVH42" s="73"/>
      <c r="TVI42" s="73"/>
      <c r="TVJ42" s="73"/>
      <c r="TVK42" s="73"/>
      <c r="TVL42" s="73"/>
      <c r="TVM42" s="73"/>
      <c r="TVN42" s="73"/>
      <c r="TVO42" s="73"/>
      <c r="TVP42" s="73"/>
      <c r="TVQ42" s="73"/>
      <c r="TVR42" s="73"/>
      <c r="TVS42" s="73"/>
      <c r="TVT42" s="73"/>
      <c r="TVU42" s="73"/>
      <c r="TVV42" s="73"/>
      <c r="TVW42" s="73"/>
      <c r="TVX42" s="73"/>
      <c r="TVY42" s="73"/>
      <c r="TVZ42" s="73"/>
      <c r="TWA42" s="73"/>
      <c r="TWB42" s="73"/>
      <c r="TWC42" s="73"/>
      <c r="TWD42" s="73"/>
      <c r="TWE42" s="73"/>
      <c r="TWF42" s="73"/>
      <c r="TWG42" s="73"/>
      <c r="TWH42" s="73"/>
      <c r="TWI42" s="73"/>
      <c r="TWJ42" s="73"/>
      <c r="TWK42" s="73"/>
      <c r="TWL42" s="73"/>
      <c r="TWM42" s="73"/>
      <c r="TWN42" s="73"/>
      <c r="TWO42" s="73"/>
      <c r="TWP42" s="73"/>
      <c r="TWQ42" s="73"/>
      <c r="TWR42" s="73"/>
      <c r="TWS42" s="73"/>
      <c r="TWT42" s="73"/>
      <c r="TWU42" s="73"/>
      <c r="TWV42" s="73"/>
      <c r="TWW42" s="73"/>
      <c r="TWX42" s="73"/>
      <c r="TWY42" s="73"/>
      <c r="TWZ42" s="73"/>
      <c r="TXA42" s="73"/>
      <c r="TXB42" s="73"/>
      <c r="TXC42" s="73"/>
      <c r="TXD42" s="73"/>
      <c r="TXE42" s="73"/>
      <c r="TXF42" s="73"/>
      <c r="TXG42" s="73"/>
      <c r="TXH42" s="73"/>
      <c r="TXI42" s="73"/>
      <c r="TXJ42" s="73"/>
      <c r="TXK42" s="73"/>
      <c r="TXL42" s="73"/>
      <c r="TXM42" s="73"/>
      <c r="TXN42" s="73"/>
      <c r="TXO42" s="73"/>
      <c r="TXP42" s="73"/>
      <c r="TXQ42" s="73"/>
      <c r="TXR42" s="73"/>
      <c r="TXS42" s="73"/>
      <c r="TXT42" s="73"/>
      <c r="TXU42" s="73"/>
      <c r="TXV42" s="73"/>
      <c r="TXW42" s="73"/>
      <c r="TXX42" s="73"/>
      <c r="TXY42" s="73"/>
      <c r="TXZ42" s="73"/>
      <c r="TYA42" s="73"/>
      <c r="TYB42" s="73"/>
      <c r="TYC42" s="73"/>
      <c r="TYD42" s="73"/>
      <c r="TYE42" s="73"/>
      <c r="TYF42" s="73"/>
      <c r="TYG42" s="73"/>
      <c r="TYH42" s="73"/>
      <c r="TYI42" s="73"/>
      <c r="TYJ42" s="73"/>
      <c r="TYK42" s="73"/>
      <c r="TYL42" s="73"/>
      <c r="TYM42" s="73"/>
      <c r="TYN42" s="73"/>
      <c r="TYO42" s="73"/>
      <c r="TYP42" s="73"/>
      <c r="TYQ42" s="73"/>
      <c r="TYR42" s="73"/>
      <c r="TYS42" s="73"/>
      <c r="TYT42" s="73"/>
      <c r="TYU42" s="73"/>
      <c r="TYV42" s="73"/>
      <c r="TYW42" s="73"/>
      <c r="TYX42" s="73"/>
      <c r="TYY42" s="73"/>
      <c r="TYZ42" s="73"/>
      <c r="TZA42" s="73"/>
      <c r="TZB42" s="73"/>
      <c r="TZC42" s="73"/>
      <c r="TZD42" s="73"/>
      <c r="TZE42" s="73"/>
      <c r="TZF42" s="73"/>
      <c r="TZG42" s="73"/>
      <c r="TZH42" s="73"/>
      <c r="TZI42" s="73"/>
      <c r="TZJ42" s="73"/>
      <c r="TZK42" s="73"/>
      <c r="TZL42" s="73"/>
      <c r="TZM42" s="73"/>
      <c r="TZN42" s="73"/>
      <c r="TZO42" s="73"/>
      <c r="TZP42" s="73"/>
      <c r="TZQ42" s="73"/>
      <c r="TZR42" s="73"/>
      <c r="TZS42" s="73"/>
      <c r="TZT42" s="73"/>
      <c r="TZU42" s="73"/>
      <c r="TZV42" s="73"/>
      <c r="TZW42" s="73"/>
      <c r="TZX42" s="73"/>
      <c r="TZY42" s="73"/>
      <c r="TZZ42" s="73"/>
      <c r="UAA42" s="73"/>
      <c r="UAB42" s="73"/>
      <c r="UAC42" s="73"/>
      <c r="UAD42" s="73"/>
      <c r="UAE42" s="73"/>
      <c r="UAF42" s="73"/>
      <c r="UAG42" s="73"/>
      <c r="UAH42" s="73"/>
      <c r="UAI42" s="73"/>
      <c r="UAJ42" s="73"/>
      <c r="UAK42" s="73"/>
      <c r="UAL42" s="73"/>
      <c r="UAM42" s="73"/>
      <c r="UAN42" s="73"/>
      <c r="UAO42" s="73"/>
      <c r="UAP42" s="73"/>
      <c r="UAQ42" s="73"/>
      <c r="UAR42" s="73"/>
      <c r="UAS42" s="73"/>
      <c r="UAT42" s="73"/>
      <c r="UAU42" s="73"/>
      <c r="UAV42" s="73"/>
      <c r="UAW42" s="73"/>
      <c r="UAX42" s="73"/>
      <c r="UAY42" s="73"/>
      <c r="UAZ42" s="73"/>
      <c r="UBA42" s="73"/>
      <c r="UBB42" s="73"/>
      <c r="UBC42" s="73"/>
      <c r="UBD42" s="73"/>
      <c r="UBE42" s="73"/>
      <c r="UBF42" s="73"/>
      <c r="UBG42" s="73"/>
      <c r="UBH42" s="73"/>
      <c r="UBI42" s="73"/>
      <c r="UBJ42" s="73"/>
      <c r="UBK42" s="73"/>
      <c r="UBL42" s="73"/>
      <c r="UBM42" s="73"/>
      <c r="UBN42" s="73"/>
      <c r="UBO42" s="73"/>
      <c r="UBP42" s="73"/>
      <c r="UBQ42" s="73"/>
      <c r="UBR42" s="73"/>
      <c r="UBS42" s="73"/>
      <c r="UBT42" s="73"/>
      <c r="UBU42" s="73"/>
      <c r="UBV42" s="73"/>
      <c r="UBW42" s="73"/>
      <c r="UBX42" s="73"/>
      <c r="UBY42" s="73"/>
      <c r="UBZ42" s="73"/>
      <c r="UCA42" s="73"/>
      <c r="UCB42" s="73"/>
      <c r="UCC42" s="73"/>
      <c r="UCD42" s="73"/>
      <c r="UCE42" s="73"/>
      <c r="UCF42" s="73"/>
      <c r="UCG42" s="73"/>
      <c r="UCH42" s="73"/>
      <c r="UCI42" s="73"/>
      <c r="UCJ42" s="73"/>
      <c r="UCK42" s="73"/>
      <c r="UCL42" s="73"/>
      <c r="UCM42" s="73"/>
      <c r="UCN42" s="73"/>
      <c r="UCO42" s="73"/>
      <c r="UCP42" s="73"/>
      <c r="UCQ42" s="73"/>
      <c r="UCR42" s="73"/>
      <c r="UCS42" s="73"/>
      <c r="UCT42" s="73"/>
      <c r="UCU42" s="73"/>
      <c r="UCV42" s="73"/>
      <c r="UCW42" s="73"/>
      <c r="UCX42" s="73"/>
      <c r="UCY42" s="73"/>
      <c r="UCZ42" s="73"/>
      <c r="UDA42" s="73"/>
      <c r="UDB42" s="73"/>
      <c r="UDC42" s="73"/>
      <c r="UDD42" s="73"/>
      <c r="UDE42" s="73"/>
      <c r="UDF42" s="73"/>
      <c r="UDG42" s="73"/>
      <c r="UDH42" s="73"/>
      <c r="UDI42" s="73"/>
      <c r="UDJ42" s="73"/>
      <c r="UDK42" s="73"/>
      <c r="UDL42" s="73"/>
      <c r="UDM42" s="73"/>
      <c r="UDN42" s="73"/>
      <c r="UDO42" s="73"/>
      <c r="UDP42" s="73"/>
      <c r="UDQ42" s="73"/>
      <c r="UDR42" s="73"/>
      <c r="UDS42" s="73"/>
      <c r="UDT42" s="73"/>
      <c r="UDU42" s="73"/>
      <c r="UDV42" s="73"/>
      <c r="UDW42" s="73"/>
      <c r="UDX42" s="73"/>
      <c r="UDY42" s="73"/>
      <c r="UDZ42" s="73"/>
      <c r="UEA42" s="73"/>
      <c r="UEB42" s="73"/>
      <c r="UEC42" s="73"/>
      <c r="UED42" s="73"/>
      <c r="UEE42" s="73"/>
      <c r="UEF42" s="73"/>
      <c r="UEG42" s="73"/>
      <c r="UEH42" s="73"/>
      <c r="UEI42" s="73"/>
      <c r="UEJ42" s="73"/>
      <c r="UEK42" s="73"/>
      <c r="UEL42" s="73"/>
      <c r="UEM42" s="73"/>
      <c r="UEN42" s="73"/>
      <c r="UEO42" s="73"/>
      <c r="UEP42" s="73"/>
      <c r="UEQ42" s="73"/>
      <c r="UER42" s="73"/>
      <c r="UES42" s="73"/>
      <c r="UET42" s="73"/>
      <c r="UEU42" s="73"/>
      <c r="UEV42" s="73"/>
      <c r="UEW42" s="73"/>
      <c r="UEX42" s="73"/>
      <c r="UEY42" s="73"/>
      <c r="UEZ42" s="73"/>
      <c r="UFA42" s="73"/>
      <c r="UFB42" s="73"/>
      <c r="UFC42" s="73"/>
      <c r="UFD42" s="73"/>
      <c r="UFE42" s="73"/>
      <c r="UFF42" s="73"/>
      <c r="UFG42" s="73"/>
      <c r="UFH42" s="73"/>
      <c r="UFI42" s="73"/>
      <c r="UFJ42" s="73"/>
      <c r="UFK42" s="73"/>
      <c r="UFL42" s="73"/>
      <c r="UFM42" s="73"/>
      <c r="UFN42" s="73"/>
      <c r="UFO42" s="73"/>
      <c r="UFP42" s="73"/>
      <c r="UFQ42" s="73"/>
      <c r="UFR42" s="73"/>
      <c r="UFS42" s="73"/>
      <c r="UFT42" s="73"/>
      <c r="UFU42" s="73"/>
      <c r="UFV42" s="73"/>
      <c r="UFW42" s="73"/>
      <c r="UFX42" s="73"/>
      <c r="UFY42" s="73"/>
      <c r="UFZ42" s="73"/>
      <c r="UGA42" s="73"/>
      <c r="UGB42" s="73"/>
      <c r="UGC42" s="73"/>
      <c r="UGD42" s="73"/>
      <c r="UGE42" s="73"/>
      <c r="UGF42" s="73"/>
      <c r="UGG42" s="73"/>
      <c r="UGH42" s="73"/>
      <c r="UGI42" s="73"/>
      <c r="UGJ42" s="73"/>
      <c r="UGK42" s="73"/>
      <c r="UGL42" s="73"/>
      <c r="UGM42" s="73"/>
      <c r="UGN42" s="73"/>
      <c r="UGO42" s="73"/>
      <c r="UGP42" s="73"/>
      <c r="UGQ42" s="73"/>
      <c r="UGR42" s="73"/>
      <c r="UGS42" s="73"/>
      <c r="UGT42" s="73"/>
      <c r="UGU42" s="73"/>
      <c r="UGV42" s="73"/>
      <c r="UGW42" s="73"/>
      <c r="UGX42" s="73"/>
      <c r="UGY42" s="73"/>
      <c r="UGZ42" s="73"/>
      <c r="UHA42" s="73"/>
      <c r="UHB42" s="73"/>
      <c r="UHC42" s="73"/>
      <c r="UHD42" s="73"/>
      <c r="UHE42" s="73"/>
      <c r="UHF42" s="73"/>
      <c r="UHG42" s="73"/>
      <c r="UHH42" s="73"/>
      <c r="UHI42" s="73"/>
      <c r="UHJ42" s="73"/>
      <c r="UHK42" s="73"/>
      <c r="UHL42" s="73"/>
      <c r="UHM42" s="73"/>
      <c r="UHN42" s="73"/>
      <c r="UHO42" s="73"/>
      <c r="UHP42" s="73"/>
      <c r="UHQ42" s="73"/>
      <c r="UHR42" s="73"/>
      <c r="UHS42" s="73"/>
      <c r="UHT42" s="73"/>
      <c r="UHU42" s="73"/>
      <c r="UHV42" s="73"/>
      <c r="UHW42" s="73"/>
      <c r="UHX42" s="73"/>
      <c r="UHY42" s="73"/>
      <c r="UHZ42" s="73"/>
      <c r="UIA42" s="73"/>
      <c r="UIB42" s="73"/>
      <c r="UIC42" s="73"/>
      <c r="UID42" s="73"/>
      <c r="UIE42" s="73"/>
      <c r="UIF42" s="73"/>
      <c r="UIG42" s="73"/>
      <c r="UIH42" s="73"/>
      <c r="UII42" s="73"/>
      <c r="UIJ42" s="73"/>
      <c r="UIK42" s="73"/>
      <c r="UIL42" s="73"/>
      <c r="UIM42" s="73"/>
      <c r="UIN42" s="73"/>
      <c r="UIO42" s="73"/>
      <c r="UIP42" s="73"/>
      <c r="UIQ42" s="73"/>
      <c r="UIR42" s="73"/>
      <c r="UIS42" s="73"/>
      <c r="UIT42" s="73"/>
      <c r="UIU42" s="73"/>
      <c r="UIV42" s="73"/>
      <c r="UIW42" s="73"/>
      <c r="UIX42" s="73"/>
      <c r="UIY42" s="73"/>
      <c r="UIZ42" s="73"/>
      <c r="UJA42" s="73"/>
      <c r="UJB42" s="73"/>
      <c r="UJC42" s="73"/>
      <c r="UJD42" s="73"/>
      <c r="UJE42" s="73"/>
      <c r="UJF42" s="73"/>
      <c r="UJG42" s="73"/>
      <c r="UJH42" s="73"/>
      <c r="UJI42" s="73"/>
      <c r="UJJ42" s="73"/>
      <c r="UJK42" s="73"/>
      <c r="UJL42" s="73"/>
      <c r="UJM42" s="73"/>
      <c r="UJN42" s="73"/>
      <c r="UJO42" s="73"/>
      <c r="UJP42" s="73"/>
      <c r="UJQ42" s="73"/>
      <c r="UJR42" s="73"/>
      <c r="UJS42" s="73"/>
      <c r="UJT42" s="73"/>
      <c r="UJU42" s="73"/>
      <c r="UJV42" s="73"/>
      <c r="UJW42" s="73"/>
      <c r="UJX42" s="73"/>
      <c r="UJY42" s="73"/>
      <c r="UJZ42" s="73"/>
      <c r="UKA42" s="73"/>
      <c r="UKB42" s="73"/>
      <c r="UKC42" s="73"/>
      <c r="UKD42" s="73"/>
      <c r="UKE42" s="73"/>
      <c r="UKF42" s="73"/>
      <c r="UKG42" s="73"/>
      <c r="UKH42" s="73"/>
      <c r="UKI42" s="73"/>
      <c r="UKJ42" s="73"/>
      <c r="UKK42" s="73"/>
      <c r="UKL42" s="73"/>
      <c r="UKM42" s="73"/>
      <c r="UKN42" s="73"/>
      <c r="UKO42" s="73"/>
      <c r="UKP42" s="73"/>
      <c r="UKQ42" s="73"/>
      <c r="UKR42" s="73"/>
      <c r="UKS42" s="73"/>
      <c r="UKT42" s="73"/>
      <c r="UKU42" s="73"/>
      <c r="UKV42" s="73"/>
      <c r="UKW42" s="73"/>
      <c r="UKX42" s="73"/>
      <c r="UKY42" s="73"/>
      <c r="UKZ42" s="73"/>
      <c r="ULA42" s="73"/>
      <c r="ULB42" s="73"/>
      <c r="ULC42" s="73"/>
      <c r="ULD42" s="73"/>
      <c r="ULE42" s="73"/>
      <c r="ULF42" s="73"/>
      <c r="ULG42" s="73"/>
      <c r="ULH42" s="73"/>
      <c r="ULI42" s="73"/>
      <c r="ULJ42" s="73"/>
      <c r="ULK42" s="73"/>
      <c r="ULL42" s="73"/>
      <c r="ULM42" s="73"/>
      <c r="ULN42" s="73"/>
      <c r="ULO42" s="73"/>
      <c r="ULP42" s="73"/>
      <c r="ULQ42" s="73"/>
      <c r="ULR42" s="73"/>
      <c r="ULS42" s="73"/>
      <c r="ULT42" s="73"/>
      <c r="ULU42" s="73"/>
      <c r="ULV42" s="73"/>
      <c r="ULW42" s="73"/>
      <c r="ULX42" s="73"/>
      <c r="ULY42" s="73"/>
      <c r="ULZ42" s="73"/>
      <c r="UMA42" s="73"/>
      <c r="UMB42" s="73"/>
      <c r="UMC42" s="73"/>
      <c r="UMD42" s="73"/>
      <c r="UME42" s="73"/>
      <c r="UMF42" s="73"/>
      <c r="UMG42" s="73"/>
      <c r="UMH42" s="73"/>
      <c r="UMI42" s="73"/>
      <c r="UMJ42" s="73"/>
      <c r="UMK42" s="73"/>
      <c r="UML42" s="73"/>
      <c r="UMM42" s="73"/>
      <c r="UMN42" s="73"/>
      <c r="UMO42" s="73"/>
      <c r="UMP42" s="73"/>
      <c r="UMQ42" s="73"/>
      <c r="UMR42" s="73"/>
      <c r="UMS42" s="73"/>
      <c r="UMT42" s="73"/>
      <c r="UMU42" s="73"/>
      <c r="UMV42" s="73"/>
      <c r="UMW42" s="73"/>
      <c r="UMX42" s="73"/>
      <c r="UMY42" s="73"/>
      <c r="UMZ42" s="73"/>
      <c r="UNA42" s="73"/>
      <c r="UNB42" s="73"/>
      <c r="UNC42" s="73"/>
      <c r="UND42" s="73"/>
      <c r="UNE42" s="73"/>
      <c r="UNF42" s="73"/>
      <c r="UNG42" s="73"/>
      <c r="UNH42" s="73"/>
      <c r="UNI42" s="73"/>
      <c r="UNJ42" s="73"/>
      <c r="UNK42" s="73"/>
      <c r="UNL42" s="73"/>
      <c r="UNM42" s="73"/>
      <c r="UNN42" s="73"/>
      <c r="UNO42" s="73"/>
      <c r="UNP42" s="73"/>
      <c r="UNQ42" s="73"/>
      <c r="UNR42" s="73"/>
      <c r="UNS42" s="73"/>
      <c r="UNT42" s="73"/>
      <c r="UNU42" s="73"/>
      <c r="UNV42" s="73"/>
      <c r="UNW42" s="73"/>
      <c r="UNX42" s="73"/>
      <c r="UNY42" s="73"/>
      <c r="UNZ42" s="73"/>
      <c r="UOA42" s="73"/>
      <c r="UOB42" s="73"/>
      <c r="UOC42" s="73"/>
      <c r="UOD42" s="73"/>
      <c r="UOE42" s="73"/>
      <c r="UOF42" s="73"/>
      <c r="UOG42" s="73"/>
      <c r="UOH42" s="73"/>
      <c r="UOI42" s="73"/>
      <c r="UOJ42" s="73"/>
      <c r="UOK42" s="73"/>
      <c r="UOL42" s="73"/>
      <c r="UOM42" s="73"/>
      <c r="UON42" s="73"/>
      <c r="UOO42" s="73"/>
      <c r="UOP42" s="73"/>
      <c r="UOQ42" s="73"/>
      <c r="UOR42" s="73"/>
      <c r="UOS42" s="73"/>
      <c r="UOT42" s="73"/>
      <c r="UOU42" s="73"/>
      <c r="UOV42" s="73"/>
      <c r="UOW42" s="73"/>
      <c r="UOX42" s="73"/>
      <c r="UOY42" s="73"/>
      <c r="UOZ42" s="73"/>
      <c r="UPA42" s="73"/>
      <c r="UPB42" s="73"/>
      <c r="UPC42" s="73"/>
      <c r="UPD42" s="73"/>
      <c r="UPE42" s="73"/>
      <c r="UPF42" s="73"/>
      <c r="UPG42" s="73"/>
      <c r="UPH42" s="73"/>
      <c r="UPI42" s="73"/>
      <c r="UPJ42" s="73"/>
      <c r="UPK42" s="73"/>
      <c r="UPL42" s="73"/>
      <c r="UPM42" s="73"/>
      <c r="UPN42" s="73"/>
      <c r="UPO42" s="73"/>
      <c r="UPP42" s="73"/>
      <c r="UPQ42" s="73"/>
      <c r="UPR42" s="73"/>
      <c r="UPS42" s="73"/>
      <c r="UPT42" s="73"/>
      <c r="UPU42" s="73"/>
      <c r="UPV42" s="73"/>
      <c r="UPW42" s="73"/>
      <c r="UPX42" s="73"/>
      <c r="UPY42" s="73"/>
      <c r="UPZ42" s="73"/>
      <c r="UQA42" s="73"/>
      <c r="UQB42" s="73"/>
      <c r="UQC42" s="73"/>
      <c r="UQD42" s="73"/>
      <c r="UQE42" s="73"/>
      <c r="UQF42" s="73"/>
      <c r="UQG42" s="73"/>
      <c r="UQH42" s="73"/>
      <c r="UQI42" s="73"/>
      <c r="UQJ42" s="73"/>
      <c r="UQK42" s="73"/>
      <c r="UQL42" s="73"/>
      <c r="UQM42" s="73"/>
      <c r="UQN42" s="73"/>
      <c r="UQO42" s="73"/>
      <c r="UQP42" s="73"/>
      <c r="UQQ42" s="73"/>
      <c r="UQR42" s="73"/>
      <c r="UQS42" s="73"/>
      <c r="UQT42" s="73"/>
      <c r="UQU42" s="73"/>
      <c r="UQV42" s="73"/>
      <c r="UQW42" s="73"/>
      <c r="UQX42" s="73"/>
      <c r="UQY42" s="73"/>
      <c r="UQZ42" s="73"/>
      <c r="URA42" s="73"/>
      <c r="URB42" s="73"/>
      <c r="URC42" s="73"/>
      <c r="URD42" s="73"/>
      <c r="URE42" s="73"/>
      <c r="URF42" s="73"/>
      <c r="URG42" s="73"/>
      <c r="URH42" s="73"/>
      <c r="URI42" s="73"/>
      <c r="URJ42" s="73"/>
      <c r="URK42" s="73"/>
      <c r="URL42" s="73"/>
      <c r="URM42" s="73"/>
      <c r="URN42" s="73"/>
      <c r="URO42" s="73"/>
      <c r="URP42" s="73"/>
      <c r="URQ42" s="73"/>
      <c r="URR42" s="73"/>
      <c r="URS42" s="73"/>
      <c r="URT42" s="73"/>
      <c r="URU42" s="73"/>
      <c r="URV42" s="73"/>
      <c r="URW42" s="73"/>
      <c r="URX42" s="73"/>
      <c r="URY42" s="73"/>
      <c r="URZ42" s="73"/>
      <c r="USA42" s="73"/>
      <c r="USB42" s="73"/>
      <c r="USC42" s="73"/>
      <c r="USD42" s="73"/>
      <c r="USE42" s="73"/>
      <c r="USF42" s="73"/>
      <c r="USG42" s="73"/>
      <c r="USH42" s="73"/>
      <c r="USI42" s="73"/>
      <c r="USJ42" s="73"/>
      <c r="USK42" s="73"/>
      <c r="USL42" s="73"/>
      <c r="USM42" s="73"/>
      <c r="USN42" s="73"/>
      <c r="USO42" s="73"/>
      <c r="USP42" s="73"/>
      <c r="USQ42" s="73"/>
      <c r="USR42" s="73"/>
      <c r="USS42" s="73"/>
      <c r="UST42" s="73"/>
      <c r="USU42" s="73"/>
      <c r="USV42" s="73"/>
      <c r="USW42" s="73"/>
      <c r="USX42" s="73"/>
      <c r="USY42" s="73"/>
      <c r="USZ42" s="73"/>
      <c r="UTA42" s="73"/>
      <c r="UTB42" s="73"/>
      <c r="UTC42" s="73"/>
      <c r="UTD42" s="73"/>
      <c r="UTE42" s="73"/>
      <c r="UTF42" s="73"/>
      <c r="UTG42" s="73"/>
      <c r="UTH42" s="73"/>
      <c r="UTI42" s="73"/>
      <c r="UTJ42" s="73"/>
      <c r="UTK42" s="73"/>
      <c r="UTL42" s="73"/>
      <c r="UTM42" s="73"/>
      <c r="UTN42" s="73"/>
      <c r="UTO42" s="73"/>
      <c r="UTP42" s="73"/>
      <c r="UTQ42" s="73"/>
      <c r="UTR42" s="73"/>
      <c r="UTS42" s="73"/>
      <c r="UTT42" s="73"/>
      <c r="UTU42" s="73"/>
      <c r="UTV42" s="73"/>
      <c r="UTW42" s="73"/>
      <c r="UTX42" s="73"/>
      <c r="UTY42" s="73"/>
      <c r="UTZ42" s="73"/>
      <c r="UUA42" s="73"/>
      <c r="UUB42" s="73"/>
      <c r="UUC42" s="73"/>
      <c r="UUD42" s="73"/>
      <c r="UUE42" s="73"/>
      <c r="UUF42" s="73"/>
      <c r="UUG42" s="73"/>
      <c r="UUH42" s="73"/>
      <c r="UUI42" s="73"/>
      <c r="UUJ42" s="73"/>
      <c r="UUK42" s="73"/>
      <c r="UUL42" s="73"/>
      <c r="UUM42" s="73"/>
      <c r="UUN42" s="73"/>
      <c r="UUO42" s="73"/>
      <c r="UUP42" s="73"/>
      <c r="UUQ42" s="73"/>
      <c r="UUR42" s="73"/>
      <c r="UUS42" s="73"/>
      <c r="UUT42" s="73"/>
      <c r="UUU42" s="73"/>
      <c r="UUV42" s="73"/>
      <c r="UUW42" s="73"/>
      <c r="UUX42" s="73"/>
      <c r="UUY42" s="73"/>
      <c r="UUZ42" s="73"/>
      <c r="UVA42" s="73"/>
      <c r="UVB42" s="73"/>
      <c r="UVC42" s="73"/>
      <c r="UVD42" s="73"/>
      <c r="UVE42" s="73"/>
      <c r="UVF42" s="73"/>
      <c r="UVG42" s="73"/>
      <c r="UVH42" s="73"/>
      <c r="UVI42" s="73"/>
      <c r="UVJ42" s="73"/>
      <c r="UVK42" s="73"/>
      <c r="UVL42" s="73"/>
      <c r="UVM42" s="73"/>
      <c r="UVN42" s="73"/>
      <c r="UVO42" s="73"/>
      <c r="UVP42" s="73"/>
      <c r="UVQ42" s="73"/>
      <c r="UVR42" s="73"/>
      <c r="UVS42" s="73"/>
      <c r="UVT42" s="73"/>
      <c r="UVU42" s="73"/>
      <c r="UVV42" s="73"/>
      <c r="UVW42" s="73"/>
      <c r="UVX42" s="73"/>
      <c r="UVY42" s="73"/>
      <c r="UVZ42" s="73"/>
      <c r="UWA42" s="73"/>
      <c r="UWB42" s="73"/>
      <c r="UWC42" s="73"/>
      <c r="UWD42" s="73"/>
      <c r="UWE42" s="73"/>
      <c r="UWF42" s="73"/>
      <c r="UWG42" s="73"/>
      <c r="UWH42" s="73"/>
      <c r="UWI42" s="73"/>
      <c r="UWJ42" s="73"/>
      <c r="UWK42" s="73"/>
      <c r="UWL42" s="73"/>
      <c r="UWM42" s="73"/>
      <c r="UWN42" s="73"/>
      <c r="UWO42" s="73"/>
      <c r="UWP42" s="73"/>
      <c r="UWQ42" s="73"/>
      <c r="UWR42" s="73"/>
      <c r="UWS42" s="73"/>
      <c r="UWT42" s="73"/>
      <c r="UWU42" s="73"/>
      <c r="UWV42" s="73"/>
      <c r="UWW42" s="73"/>
      <c r="UWX42" s="73"/>
      <c r="UWY42" s="73"/>
      <c r="UWZ42" s="73"/>
      <c r="UXA42" s="73"/>
      <c r="UXB42" s="73"/>
      <c r="UXC42" s="73"/>
      <c r="UXD42" s="73"/>
      <c r="UXE42" s="73"/>
      <c r="UXF42" s="73"/>
      <c r="UXG42" s="73"/>
      <c r="UXH42" s="73"/>
      <c r="UXI42" s="73"/>
      <c r="UXJ42" s="73"/>
      <c r="UXK42" s="73"/>
      <c r="UXL42" s="73"/>
      <c r="UXM42" s="73"/>
      <c r="UXN42" s="73"/>
      <c r="UXO42" s="73"/>
      <c r="UXP42" s="73"/>
      <c r="UXQ42" s="73"/>
      <c r="UXR42" s="73"/>
      <c r="UXS42" s="73"/>
      <c r="UXT42" s="73"/>
      <c r="UXU42" s="73"/>
      <c r="UXV42" s="73"/>
      <c r="UXW42" s="73"/>
      <c r="UXX42" s="73"/>
      <c r="UXY42" s="73"/>
      <c r="UXZ42" s="73"/>
      <c r="UYA42" s="73"/>
      <c r="UYB42" s="73"/>
      <c r="UYC42" s="73"/>
      <c r="UYD42" s="73"/>
      <c r="UYE42" s="73"/>
      <c r="UYF42" s="73"/>
      <c r="UYG42" s="73"/>
      <c r="UYH42" s="73"/>
      <c r="UYI42" s="73"/>
      <c r="UYJ42" s="73"/>
      <c r="UYK42" s="73"/>
      <c r="UYL42" s="73"/>
      <c r="UYM42" s="73"/>
      <c r="UYN42" s="73"/>
      <c r="UYO42" s="73"/>
      <c r="UYP42" s="73"/>
      <c r="UYQ42" s="73"/>
      <c r="UYR42" s="73"/>
      <c r="UYS42" s="73"/>
      <c r="UYT42" s="73"/>
      <c r="UYU42" s="73"/>
      <c r="UYV42" s="73"/>
      <c r="UYW42" s="73"/>
      <c r="UYX42" s="73"/>
      <c r="UYY42" s="73"/>
      <c r="UYZ42" s="73"/>
      <c r="UZA42" s="73"/>
      <c r="UZB42" s="73"/>
      <c r="UZC42" s="73"/>
      <c r="UZD42" s="73"/>
      <c r="UZE42" s="73"/>
      <c r="UZF42" s="73"/>
      <c r="UZG42" s="73"/>
      <c r="UZH42" s="73"/>
      <c r="UZI42" s="73"/>
      <c r="UZJ42" s="73"/>
      <c r="UZK42" s="73"/>
      <c r="UZL42" s="73"/>
      <c r="UZM42" s="73"/>
      <c r="UZN42" s="73"/>
      <c r="UZO42" s="73"/>
      <c r="UZP42" s="73"/>
      <c r="UZQ42" s="73"/>
      <c r="UZR42" s="73"/>
      <c r="UZS42" s="73"/>
      <c r="UZT42" s="73"/>
      <c r="UZU42" s="73"/>
      <c r="UZV42" s="73"/>
      <c r="UZW42" s="73"/>
      <c r="UZX42" s="73"/>
      <c r="UZY42" s="73"/>
      <c r="UZZ42" s="73"/>
      <c r="VAA42" s="73"/>
      <c r="VAB42" s="73"/>
      <c r="VAC42" s="73"/>
      <c r="VAD42" s="73"/>
      <c r="VAE42" s="73"/>
      <c r="VAF42" s="73"/>
      <c r="VAG42" s="73"/>
      <c r="VAH42" s="73"/>
      <c r="VAI42" s="73"/>
      <c r="VAJ42" s="73"/>
      <c r="VAK42" s="73"/>
      <c r="VAL42" s="73"/>
      <c r="VAM42" s="73"/>
      <c r="VAN42" s="73"/>
      <c r="VAO42" s="73"/>
      <c r="VAP42" s="73"/>
      <c r="VAQ42" s="73"/>
      <c r="VAR42" s="73"/>
      <c r="VAS42" s="73"/>
      <c r="VAT42" s="73"/>
      <c r="VAU42" s="73"/>
      <c r="VAV42" s="73"/>
      <c r="VAW42" s="73"/>
      <c r="VAX42" s="73"/>
      <c r="VAY42" s="73"/>
      <c r="VAZ42" s="73"/>
      <c r="VBA42" s="73"/>
      <c r="VBB42" s="73"/>
      <c r="VBC42" s="73"/>
      <c r="VBD42" s="73"/>
      <c r="VBE42" s="73"/>
      <c r="VBF42" s="73"/>
      <c r="VBG42" s="73"/>
      <c r="VBH42" s="73"/>
      <c r="VBI42" s="73"/>
      <c r="VBJ42" s="73"/>
      <c r="VBK42" s="73"/>
      <c r="VBL42" s="73"/>
      <c r="VBM42" s="73"/>
      <c r="VBN42" s="73"/>
      <c r="VBO42" s="73"/>
      <c r="VBP42" s="73"/>
      <c r="VBQ42" s="73"/>
      <c r="VBR42" s="73"/>
      <c r="VBS42" s="73"/>
      <c r="VBT42" s="73"/>
      <c r="VBU42" s="73"/>
      <c r="VBV42" s="73"/>
      <c r="VBW42" s="73"/>
      <c r="VBX42" s="73"/>
      <c r="VBY42" s="73"/>
      <c r="VBZ42" s="73"/>
      <c r="VCA42" s="73"/>
      <c r="VCB42" s="73"/>
      <c r="VCC42" s="73"/>
      <c r="VCD42" s="73"/>
      <c r="VCE42" s="73"/>
      <c r="VCF42" s="73"/>
      <c r="VCG42" s="73"/>
      <c r="VCH42" s="73"/>
      <c r="VCI42" s="73"/>
      <c r="VCJ42" s="73"/>
      <c r="VCK42" s="73"/>
      <c r="VCL42" s="73"/>
      <c r="VCM42" s="73"/>
      <c r="VCN42" s="73"/>
      <c r="VCO42" s="73"/>
      <c r="VCP42" s="73"/>
      <c r="VCQ42" s="73"/>
      <c r="VCR42" s="73"/>
      <c r="VCS42" s="73"/>
      <c r="VCT42" s="73"/>
      <c r="VCU42" s="73"/>
      <c r="VCV42" s="73"/>
      <c r="VCW42" s="73"/>
      <c r="VCX42" s="73"/>
      <c r="VCY42" s="73"/>
      <c r="VCZ42" s="73"/>
      <c r="VDA42" s="73"/>
      <c r="VDB42" s="73"/>
      <c r="VDC42" s="73"/>
      <c r="VDD42" s="73"/>
      <c r="VDE42" s="73"/>
      <c r="VDF42" s="73"/>
      <c r="VDG42" s="73"/>
      <c r="VDH42" s="73"/>
      <c r="VDI42" s="73"/>
      <c r="VDJ42" s="73"/>
      <c r="VDK42" s="73"/>
      <c r="VDL42" s="73"/>
      <c r="VDM42" s="73"/>
      <c r="VDN42" s="73"/>
      <c r="VDO42" s="73"/>
      <c r="VDP42" s="73"/>
      <c r="VDQ42" s="73"/>
      <c r="VDR42" s="73"/>
      <c r="VDS42" s="73"/>
      <c r="VDT42" s="73"/>
      <c r="VDU42" s="73"/>
      <c r="VDV42" s="73"/>
      <c r="VDW42" s="73"/>
      <c r="VDX42" s="73"/>
      <c r="VDY42" s="73"/>
      <c r="VDZ42" s="73"/>
      <c r="VEA42" s="73"/>
      <c r="VEB42" s="73"/>
      <c r="VEC42" s="73"/>
      <c r="VED42" s="73"/>
      <c r="VEE42" s="73"/>
      <c r="VEF42" s="73"/>
      <c r="VEG42" s="73"/>
      <c r="VEH42" s="73"/>
      <c r="VEI42" s="73"/>
      <c r="VEJ42" s="73"/>
      <c r="VEK42" s="73"/>
      <c r="VEL42" s="73"/>
      <c r="VEM42" s="73"/>
      <c r="VEN42" s="73"/>
      <c r="VEO42" s="73"/>
      <c r="VEP42" s="73"/>
      <c r="VEQ42" s="73"/>
      <c r="VER42" s="73"/>
      <c r="VES42" s="73"/>
      <c r="VET42" s="73"/>
      <c r="VEU42" s="73"/>
      <c r="VEV42" s="73"/>
      <c r="VEW42" s="73"/>
      <c r="VEX42" s="73"/>
      <c r="VEY42" s="73"/>
      <c r="VEZ42" s="73"/>
      <c r="VFA42" s="73"/>
      <c r="VFB42" s="73"/>
      <c r="VFC42" s="73"/>
      <c r="VFD42" s="73"/>
      <c r="VFE42" s="73"/>
      <c r="VFF42" s="73"/>
      <c r="VFG42" s="73"/>
      <c r="VFH42" s="73"/>
      <c r="VFI42" s="73"/>
      <c r="VFJ42" s="73"/>
      <c r="VFK42" s="73"/>
      <c r="VFL42" s="73"/>
      <c r="VFM42" s="73"/>
      <c r="VFN42" s="73"/>
      <c r="VFO42" s="73"/>
      <c r="VFP42" s="73"/>
      <c r="VFQ42" s="73"/>
      <c r="VFR42" s="73"/>
      <c r="VFS42" s="73"/>
      <c r="VFT42" s="73"/>
      <c r="VFU42" s="73"/>
      <c r="VFV42" s="73"/>
      <c r="VFW42" s="73"/>
      <c r="VFX42" s="73"/>
      <c r="VFY42" s="73"/>
      <c r="VFZ42" s="73"/>
      <c r="VGA42" s="73"/>
      <c r="VGB42" s="73"/>
      <c r="VGC42" s="73"/>
      <c r="VGD42" s="73"/>
      <c r="VGE42" s="73"/>
      <c r="VGF42" s="73"/>
      <c r="VGG42" s="73"/>
      <c r="VGH42" s="73"/>
      <c r="VGI42" s="73"/>
      <c r="VGJ42" s="73"/>
      <c r="VGK42" s="73"/>
      <c r="VGL42" s="73"/>
      <c r="VGM42" s="73"/>
      <c r="VGN42" s="73"/>
      <c r="VGO42" s="73"/>
      <c r="VGP42" s="73"/>
      <c r="VGQ42" s="73"/>
      <c r="VGR42" s="73"/>
      <c r="VGS42" s="73"/>
      <c r="VGT42" s="73"/>
      <c r="VGU42" s="73"/>
      <c r="VGV42" s="73"/>
      <c r="VGW42" s="73"/>
      <c r="VGX42" s="73"/>
      <c r="VGY42" s="73"/>
      <c r="VGZ42" s="73"/>
      <c r="VHA42" s="73"/>
      <c r="VHB42" s="73"/>
      <c r="VHC42" s="73"/>
      <c r="VHD42" s="73"/>
      <c r="VHE42" s="73"/>
      <c r="VHF42" s="73"/>
      <c r="VHG42" s="73"/>
      <c r="VHH42" s="73"/>
      <c r="VHI42" s="73"/>
      <c r="VHJ42" s="73"/>
      <c r="VHK42" s="73"/>
      <c r="VHL42" s="73"/>
      <c r="VHM42" s="73"/>
      <c r="VHN42" s="73"/>
      <c r="VHO42" s="73"/>
      <c r="VHP42" s="73"/>
      <c r="VHQ42" s="73"/>
      <c r="VHR42" s="73"/>
      <c r="VHS42" s="73"/>
      <c r="VHT42" s="73"/>
      <c r="VHU42" s="73"/>
      <c r="VHV42" s="73"/>
      <c r="VHW42" s="73"/>
      <c r="VHX42" s="73"/>
      <c r="VHY42" s="73"/>
      <c r="VHZ42" s="73"/>
      <c r="VIA42" s="73"/>
      <c r="VIB42" s="73"/>
      <c r="VIC42" s="73"/>
      <c r="VID42" s="73"/>
      <c r="VIE42" s="73"/>
      <c r="VIF42" s="73"/>
      <c r="VIG42" s="73"/>
      <c r="VIH42" s="73"/>
      <c r="VII42" s="73"/>
      <c r="VIJ42" s="73"/>
      <c r="VIK42" s="73"/>
      <c r="VIL42" s="73"/>
      <c r="VIM42" s="73"/>
      <c r="VIN42" s="73"/>
      <c r="VIO42" s="73"/>
      <c r="VIP42" s="73"/>
      <c r="VIQ42" s="73"/>
      <c r="VIR42" s="73"/>
      <c r="VIS42" s="73"/>
      <c r="VIT42" s="73"/>
      <c r="VIU42" s="73"/>
      <c r="VIV42" s="73"/>
      <c r="VIW42" s="73"/>
      <c r="VIX42" s="73"/>
      <c r="VIY42" s="73"/>
      <c r="VIZ42" s="73"/>
      <c r="VJA42" s="73"/>
      <c r="VJB42" s="73"/>
      <c r="VJC42" s="73"/>
      <c r="VJD42" s="73"/>
      <c r="VJE42" s="73"/>
      <c r="VJF42" s="73"/>
      <c r="VJG42" s="73"/>
      <c r="VJH42" s="73"/>
      <c r="VJI42" s="73"/>
      <c r="VJJ42" s="73"/>
      <c r="VJK42" s="73"/>
      <c r="VJL42" s="73"/>
      <c r="VJM42" s="73"/>
      <c r="VJN42" s="73"/>
      <c r="VJO42" s="73"/>
      <c r="VJP42" s="73"/>
      <c r="VJQ42" s="73"/>
      <c r="VJR42" s="73"/>
      <c r="VJS42" s="73"/>
      <c r="VJT42" s="73"/>
      <c r="VJU42" s="73"/>
      <c r="VJV42" s="73"/>
      <c r="VJW42" s="73"/>
      <c r="VJX42" s="73"/>
      <c r="VJY42" s="73"/>
      <c r="VJZ42" s="73"/>
      <c r="VKA42" s="73"/>
      <c r="VKB42" s="73"/>
      <c r="VKC42" s="73"/>
      <c r="VKD42" s="73"/>
      <c r="VKE42" s="73"/>
      <c r="VKF42" s="73"/>
      <c r="VKG42" s="73"/>
      <c r="VKH42" s="73"/>
      <c r="VKI42" s="73"/>
      <c r="VKJ42" s="73"/>
      <c r="VKK42" s="73"/>
      <c r="VKL42" s="73"/>
      <c r="VKM42" s="73"/>
      <c r="VKN42" s="73"/>
      <c r="VKO42" s="73"/>
      <c r="VKP42" s="73"/>
      <c r="VKQ42" s="73"/>
      <c r="VKR42" s="73"/>
      <c r="VKS42" s="73"/>
      <c r="VKT42" s="73"/>
      <c r="VKU42" s="73"/>
      <c r="VKV42" s="73"/>
      <c r="VKW42" s="73"/>
      <c r="VKX42" s="73"/>
      <c r="VKY42" s="73"/>
      <c r="VKZ42" s="73"/>
      <c r="VLA42" s="73"/>
      <c r="VLB42" s="73"/>
      <c r="VLC42" s="73"/>
      <c r="VLD42" s="73"/>
      <c r="VLE42" s="73"/>
      <c r="VLF42" s="73"/>
      <c r="VLG42" s="73"/>
      <c r="VLH42" s="73"/>
      <c r="VLI42" s="73"/>
      <c r="VLJ42" s="73"/>
      <c r="VLK42" s="73"/>
      <c r="VLL42" s="73"/>
      <c r="VLM42" s="73"/>
      <c r="VLN42" s="73"/>
      <c r="VLO42" s="73"/>
      <c r="VLP42" s="73"/>
      <c r="VLQ42" s="73"/>
      <c r="VLR42" s="73"/>
      <c r="VLS42" s="73"/>
      <c r="VLT42" s="73"/>
      <c r="VLU42" s="73"/>
      <c r="VLV42" s="73"/>
      <c r="VLW42" s="73"/>
      <c r="VLX42" s="73"/>
      <c r="VLY42" s="73"/>
      <c r="VLZ42" s="73"/>
      <c r="VMA42" s="73"/>
      <c r="VMB42" s="73"/>
      <c r="VMC42" s="73"/>
      <c r="VMD42" s="73"/>
      <c r="VME42" s="73"/>
      <c r="VMF42" s="73"/>
      <c r="VMG42" s="73"/>
      <c r="VMH42" s="73"/>
      <c r="VMI42" s="73"/>
      <c r="VMJ42" s="73"/>
      <c r="VMK42" s="73"/>
      <c r="VML42" s="73"/>
      <c r="VMM42" s="73"/>
      <c r="VMN42" s="73"/>
      <c r="VMO42" s="73"/>
      <c r="VMP42" s="73"/>
      <c r="VMQ42" s="73"/>
      <c r="VMR42" s="73"/>
      <c r="VMS42" s="73"/>
      <c r="VMT42" s="73"/>
      <c r="VMU42" s="73"/>
      <c r="VMV42" s="73"/>
      <c r="VMW42" s="73"/>
      <c r="VMX42" s="73"/>
      <c r="VMY42" s="73"/>
      <c r="VMZ42" s="73"/>
      <c r="VNA42" s="73"/>
      <c r="VNB42" s="73"/>
      <c r="VNC42" s="73"/>
      <c r="VND42" s="73"/>
      <c r="VNE42" s="73"/>
      <c r="VNF42" s="73"/>
      <c r="VNG42" s="73"/>
      <c r="VNH42" s="73"/>
      <c r="VNI42" s="73"/>
      <c r="VNJ42" s="73"/>
      <c r="VNK42" s="73"/>
      <c r="VNL42" s="73"/>
      <c r="VNM42" s="73"/>
      <c r="VNN42" s="73"/>
      <c r="VNO42" s="73"/>
      <c r="VNP42" s="73"/>
      <c r="VNQ42" s="73"/>
      <c r="VNR42" s="73"/>
      <c r="VNS42" s="73"/>
      <c r="VNT42" s="73"/>
      <c r="VNU42" s="73"/>
      <c r="VNV42" s="73"/>
      <c r="VNW42" s="73"/>
      <c r="VNX42" s="73"/>
      <c r="VNY42" s="73"/>
      <c r="VNZ42" s="73"/>
      <c r="VOA42" s="73"/>
      <c r="VOB42" s="73"/>
      <c r="VOC42" s="73"/>
      <c r="VOD42" s="73"/>
      <c r="VOE42" s="73"/>
      <c r="VOF42" s="73"/>
      <c r="VOG42" s="73"/>
      <c r="VOH42" s="73"/>
      <c r="VOI42" s="73"/>
      <c r="VOJ42" s="73"/>
      <c r="VOK42" s="73"/>
      <c r="VOL42" s="73"/>
      <c r="VOM42" s="73"/>
      <c r="VON42" s="73"/>
      <c r="VOO42" s="73"/>
      <c r="VOP42" s="73"/>
      <c r="VOQ42" s="73"/>
      <c r="VOR42" s="73"/>
      <c r="VOS42" s="73"/>
      <c r="VOT42" s="73"/>
      <c r="VOU42" s="73"/>
      <c r="VOV42" s="73"/>
      <c r="VOW42" s="73"/>
      <c r="VOX42" s="73"/>
      <c r="VOY42" s="73"/>
      <c r="VOZ42" s="73"/>
      <c r="VPA42" s="73"/>
      <c r="VPB42" s="73"/>
      <c r="VPC42" s="73"/>
      <c r="VPD42" s="73"/>
      <c r="VPE42" s="73"/>
      <c r="VPF42" s="73"/>
      <c r="VPG42" s="73"/>
      <c r="VPH42" s="73"/>
      <c r="VPI42" s="73"/>
      <c r="VPJ42" s="73"/>
      <c r="VPK42" s="73"/>
      <c r="VPL42" s="73"/>
      <c r="VPM42" s="73"/>
      <c r="VPN42" s="73"/>
      <c r="VPO42" s="73"/>
      <c r="VPP42" s="73"/>
      <c r="VPQ42" s="73"/>
      <c r="VPR42" s="73"/>
      <c r="VPS42" s="73"/>
      <c r="VPT42" s="73"/>
      <c r="VPU42" s="73"/>
      <c r="VPV42" s="73"/>
      <c r="VPW42" s="73"/>
      <c r="VPX42" s="73"/>
      <c r="VPY42" s="73"/>
      <c r="VPZ42" s="73"/>
      <c r="VQA42" s="73"/>
      <c r="VQB42" s="73"/>
      <c r="VQC42" s="73"/>
      <c r="VQD42" s="73"/>
      <c r="VQE42" s="73"/>
      <c r="VQF42" s="73"/>
      <c r="VQG42" s="73"/>
      <c r="VQH42" s="73"/>
      <c r="VQI42" s="73"/>
      <c r="VQJ42" s="73"/>
      <c r="VQK42" s="73"/>
      <c r="VQL42" s="73"/>
      <c r="VQM42" s="73"/>
      <c r="VQN42" s="73"/>
      <c r="VQO42" s="73"/>
      <c r="VQP42" s="73"/>
      <c r="VQQ42" s="73"/>
      <c r="VQR42" s="73"/>
      <c r="VQS42" s="73"/>
      <c r="VQT42" s="73"/>
      <c r="VQU42" s="73"/>
      <c r="VQV42" s="73"/>
      <c r="VQW42" s="73"/>
      <c r="VQX42" s="73"/>
      <c r="VQY42" s="73"/>
      <c r="VQZ42" s="73"/>
      <c r="VRA42" s="73"/>
      <c r="VRB42" s="73"/>
      <c r="VRC42" s="73"/>
      <c r="VRD42" s="73"/>
      <c r="VRE42" s="73"/>
      <c r="VRF42" s="73"/>
      <c r="VRG42" s="73"/>
      <c r="VRH42" s="73"/>
      <c r="VRI42" s="73"/>
      <c r="VRJ42" s="73"/>
      <c r="VRK42" s="73"/>
      <c r="VRL42" s="73"/>
      <c r="VRM42" s="73"/>
      <c r="VRN42" s="73"/>
      <c r="VRO42" s="73"/>
      <c r="VRP42" s="73"/>
      <c r="VRQ42" s="73"/>
      <c r="VRR42" s="73"/>
      <c r="VRS42" s="73"/>
      <c r="VRT42" s="73"/>
      <c r="VRU42" s="73"/>
      <c r="VRV42" s="73"/>
      <c r="VRW42" s="73"/>
      <c r="VRX42" s="73"/>
      <c r="VRY42" s="73"/>
      <c r="VRZ42" s="73"/>
      <c r="VSA42" s="73"/>
      <c r="VSB42" s="73"/>
      <c r="VSC42" s="73"/>
      <c r="VSD42" s="73"/>
      <c r="VSE42" s="73"/>
      <c r="VSF42" s="73"/>
      <c r="VSG42" s="73"/>
      <c r="VSH42" s="73"/>
      <c r="VSI42" s="73"/>
      <c r="VSJ42" s="73"/>
      <c r="VSK42" s="73"/>
      <c r="VSL42" s="73"/>
      <c r="VSM42" s="73"/>
      <c r="VSN42" s="73"/>
      <c r="VSO42" s="73"/>
      <c r="VSP42" s="73"/>
      <c r="VSQ42" s="73"/>
      <c r="VSR42" s="73"/>
      <c r="VSS42" s="73"/>
      <c r="VST42" s="73"/>
      <c r="VSU42" s="73"/>
      <c r="VSV42" s="73"/>
      <c r="VSW42" s="73"/>
      <c r="VSX42" s="73"/>
      <c r="VSY42" s="73"/>
      <c r="VSZ42" s="73"/>
      <c r="VTA42" s="73"/>
      <c r="VTB42" s="73"/>
      <c r="VTC42" s="73"/>
      <c r="VTD42" s="73"/>
      <c r="VTE42" s="73"/>
      <c r="VTF42" s="73"/>
      <c r="VTG42" s="73"/>
      <c r="VTH42" s="73"/>
      <c r="VTI42" s="73"/>
      <c r="VTJ42" s="73"/>
      <c r="VTK42" s="73"/>
      <c r="VTL42" s="73"/>
      <c r="VTM42" s="73"/>
      <c r="VTN42" s="73"/>
      <c r="VTO42" s="73"/>
      <c r="VTP42" s="73"/>
      <c r="VTQ42" s="73"/>
      <c r="VTR42" s="73"/>
      <c r="VTS42" s="73"/>
      <c r="VTT42" s="73"/>
      <c r="VTU42" s="73"/>
      <c r="VTV42" s="73"/>
      <c r="VTW42" s="73"/>
      <c r="VTX42" s="73"/>
      <c r="VTY42" s="73"/>
      <c r="VTZ42" s="73"/>
      <c r="VUA42" s="73"/>
      <c r="VUB42" s="73"/>
      <c r="VUC42" s="73"/>
      <c r="VUD42" s="73"/>
      <c r="VUE42" s="73"/>
      <c r="VUF42" s="73"/>
      <c r="VUG42" s="73"/>
      <c r="VUH42" s="73"/>
      <c r="VUI42" s="73"/>
      <c r="VUJ42" s="73"/>
      <c r="VUK42" s="73"/>
      <c r="VUL42" s="73"/>
      <c r="VUM42" s="73"/>
      <c r="VUN42" s="73"/>
      <c r="VUO42" s="73"/>
      <c r="VUP42" s="73"/>
      <c r="VUQ42" s="73"/>
      <c r="VUR42" s="73"/>
      <c r="VUS42" s="73"/>
      <c r="VUT42" s="73"/>
      <c r="VUU42" s="73"/>
      <c r="VUV42" s="73"/>
      <c r="VUW42" s="73"/>
      <c r="VUX42" s="73"/>
      <c r="VUY42" s="73"/>
      <c r="VUZ42" s="73"/>
      <c r="VVA42" s="73"/>
      <c r="VVB42" s="73"/>
      <c r="VVC42" s="73"/>
      <c r="VVD42" s="73"/>
      <c r="VVE42" s="73"/>
      <c r="VVF42" s="73"/>
      <c r="VVG42" s="73"/>
      <c r="VVH42" s="73"/>
      <c r="VVI42" s="73"/>
      <c r="VVJ42" s="73"/>
      <c r="VVK42" s="73"/>
      <c r="VVL42" s="73"/>
      <c r="VVM42" s="73"/>
      <c r="VVN42" s="73"/>
      <c r="VVO42" s="73"/>
      <c r="VVP42" s="73"/>
      <c r="VVQ42" s="73"/>
      <c r="VVR42" s="73"/>
      <c r="VVS42" s="73"/>
      <c r="VVT42" s="73"/>
      <c r="VVU42" s="73"/>
      <c r="VVV42" s="73"/>
      <c r="VVW42" s="73"/>
      <c r="VVX42" s="73"/>
      <c r="VVY42" s="73"/>
      <c r="VVZ42" s="73"/>
      <c r="VWA42" s="73"/>
      <c r="VWB42" s="73"/>
      <c r="VWC42" s="73"/>
      <c r="VWD42" s="73"/>
      <c r="VWE42" s="73"/>
      <c r="VWF42" s="73"/>
      <c r="VWG42" s="73"/>
      <c r="VWH42" s="73"/>
      <c r="VWI42" s="73"/>
      <c r="VWJ42" s="73"/>
      <c r="VWK42" s="73"/>
      <c r="VWL42" s="73"/>
      <c r="VWM42" s="73"/>
      <c r="VWN42" s="73"/>
      <c r="VWO42" s="73"/>
      <c r="VWP42" s="73"/>
      <c r="VWQ42" s="73"/>
      <c r="VWR42" s="73"/>
      <c r="VWS42" s="73"/>
      <c r="VWT42" s="73"/>
      <c r="VWU42" s="73"/>
      <c r="VWV42" s="73"/>
      <c r="VWW42" s="73"/>
      <c r="VWX42" s="73"/>
      <c r="VWY42" s="73"/>
      <c r="VWZ42" s="73"/>
      <c r="VXA42" s="73"/>
      <c r="VXB42" s="73"/>
      <c r="VXC42" s="73"/>
      <c r="VXD42" s="73"/>
      <c r="VXE42" s="73"/>
      <c r="VXF42" s="73"/>
      <c r="VXG42" s="73"/>
      <c r="VXH42" s="73"/>
      <c r="VXI42" s="73"/>
      <c r="VXJ42" s="73"/>
      <c r="VXK42" s="73"/>
      <c r="VXL42" s="73"/>
      <c r="VXM42" s="73"/>
      <c r="VXN42" s="73"/>
      <c r="VXO42" s="73"/>
      <c r="VXP42" s="73"/>
      <c r="VXQ42" s="73"/>
      <c r="VXR42" s="73"/>
      <c r="VXS42" s="73"/>
      <c r="VXT42" s="73"/>
      <c r="VXU42" s="73"/>
      <c r="VXV42" s="73"/>
      <c r="VXW42" s="73"/>
      <c r="VXX42" s="73"/>
      <c r="VXY42" s="73"/>
      <c r="VXZ42" s="73"/>
      <c r="VYA42" s="73"/>
      <c r="VYB42" s="73"/>
      <c r="VYC42" s="73"/>
      <c r="VYD42" s="73"/>
      <c r="VYE42" s="73"/>
      <c r="VYF42" s="73"/>
      <c r="VYG42" s="73"/>
      <c r="VYH42" s="73"/>
      <c r="VYI42" s="73"/>
      <c r="VYJ42" s="73"/>
      <c r="VYK42" s="73"/>
      <c r="VYL42" s="73"/>
      <c r="VYM42" s="73"/>
      <c r="VYN42" s="73"/>
      <c r="VYO42" s="73"/>
      <c r="VYP42" s="73"/>
      <c r="VYQ42" s="73"/>
      <c r="VYR42" s="73"/>
      <c r="VYS42" s="73"/>
      <c r="VYT42" s="73"/>
      <c r="VYU42" s="73"/>
      <c r="VYV42" s="73"/>
      <c r="VYW42" s="73"/>
      <c r="VYX42" s="73"/>
      <c r="VYY42" s="73"/>
      <c r="VYZ42" s="73"/>
      <c r="VZA42" s="73"/>
      <c r="VZB42" s="73"/>
      <c r="VZC42" s="73"/>
      <c r="VZD42" s="73"/>
      <c r="VZE42" s="73"/>
      <c r="VZF42" s="73"/>
      <c r="VZG42" s="73"/>
      <c r="VZH42" s="73"/>
      <c r="VZI42" s="73"/>
      <c r="VZJ42" s="73"/>
      <c r="VZK42" s="73"/>
      <c r="VZL42" s="73"/>
      <c r="VZM42" s="73"/>
      <c r="VZN42" s="73"/>
      <c r="VZO42" s="73"/>
      <c r="VZP42" s="73"/>
      <c r="VZQ42" s="73"/>
      <c r="VZR42" s="73"/>
      <c r="VZS42" s="73"/>
      <c r="VZT42" s="73"/>
      <c r="VZU42" s="73"/>
      <c r="VZV42" s="73"/>
      <c r="VZW42" s="73"/>
      <c r="VZX42" s="73"/>
      <c r="VZY42" s="73"/>
      <c r="VZZ42" s="73"/>
      <c r="WAA42" s="73"/>
      <c r="WAB42" s="73"/>
      <c r="WAC42" s="73"/>
      <c r="WAD42" s="73"/>
      <c r="WAE42" s="73"/>
      <c r="WAF42" s="73"/>
      <c r="WAG42" s="73"/>
      <c r="WAH42" s="73"/>
      <c r="WAI42" s="73"/>
      <c r="WAJ42" s="73"/>
      <c r="WAK42" s="73"/>
      <c r="WAL42" s="73"/>
      <c r="WAM42" s="73"/>
      <c r="WAN42" s="73"/>
      <c r="WAO42" s="73"/>
      <c r="WAP42" s="73"/>
      <c r="WAQ42" s="73"/>
      <c r="WAR42" s="73"/>
      <c r="WAS42" s="73"/>
      <c r="WAT42" s="73"/>
      <c r="WAU42" s="73"/>
      <c r="WAV42" s="73"/>
      <c r="WAW42" s="73"/>
      <c r="WAX42" s="73"/>
      <c r="WAY42" s="73"/>
      <c r="WAZ42" s="73"/>
      <c r="WBA42" s="73"/>
      <c r="WBB42" s="73"/>
      <c r="WBC42" s="73"/>
      <c r="WBD42" s="73"/>
      <c r="WBE42" s="73"/>
      <c r="WBF42" s="73"/>
      <c r="WBG42" s="73"/>
      <c r="WBH42" s="73"/>
      <c r="WBI42" s="73"/>
      <c r="WBJ42" s="73"/>
      <c r="WBK42" s="73"/>
      <c r="WBL42" s="73"/>
      <c r="WBM42" s="73"/>
      <c r="WBN42" s="73"/>
      <c r="WBO42" s="73"/>
      <c r="WBP42" s="73"/>
      <c r="WBQ42" s="73"/>
      <c r="WBR42" s="73"/>
      <c r="WBS42" s="73"/>
      <c r="WBT42" s="73"/>
      <c r="WBU42" s="73"/>
      <c r="WBV42" s="73"/>
      <c r="WBW42" s="73"/>
      <c r="WBX42" s="73"/>
      <c r="WBY42" s="73"/>
      <c r="WBZ42" s="73"/>
      <c r="WCA42" s="73"/>
      <c r="WCB42" s="73"/>
      <c r="WCC42" s="73"/>
      <c r="WCD42" s="73"/>
      <c r="WCE42" s="73"/>
      <c r="WCF42" s="73"/>
      <c r="WCG42" s="73"/>
      <c r="WCH42" s="73"/>
      <c r="WCI42" s="73"/>
      <c r="WCJ42" s="73"/>
      <c r="WCK42" s="73"/>
      <c r="WCL42" s="73"/>
      <c r="WCM42" s="73"/>
      <c r="WCN42" s="73"/>
      <c r="WCO42" s="73"/>
      <c r="WCP42" s="73"/>
      <c r="WCQ42" s="73"/>
      <c r="WCR42" s="73"/>
      <c r="WCS42" s="73"/>
      <c r="WCT42" s="73"/>
      <c r="WCU42" s="73"/>
      <c r="WCV42" s="73"/>
      <c r="WCW42" s="73"/>
      <c r="WCX42" s="73"/>
      <c r="WCY42" s="73"/>
      <c r="WCZ42" s="73"/>
      <c r="WDA42" s="73"/>
      <c r="WDB42" s="73"/>
      <c r="WDC42" s="73"/>
      <c r="WDD42" s="73"/>
      <c r="WDE42" s="73"/>
      <c r="WDF42" s="73"/>
      <c r="WDG42" s="73"/>
      <c r="WDH42" s="73"/>
      <c r="WDI42" s="73"/>
      <c r="WDJ42" s="73"/>
      <c r="WDK42" s="73"/>
      <c r="WDL42" s="73"/>
      <c r="WDM42" s="73"/>
      <c r="WDN42" s="73"/>
      <c r="WDO42" s="73"/>
      <c r="WDP42" s="73"/>
      <c r="WDQ42" s="73"/>
      <c r="WDR42" s="73"/>
      <c r="WDS42" s="73"/>
      <c r="WDT42" s="73"/>
      <c r="WDU42" s="73"/>
      <c r="WDV42" s="73"/>
      <c r="WDW42" s="73"/>
      <c r="WDX42" s="73"/>
      <c r="WDY42" s="73"/>
      <c r="WDZ42" s="73"/>
      <c r="WEA42" s="73"/>
      <c r="WEB42" s="73"/>
      <c r="WEC42" s="73"/>
      <c r="WED42" s="73"/>
      <c r="WEE42" s="73"/>
      <c r="WEF42" s="73"/>
      <c r="WEG42" s="73"/>
      <c r="WEH42" s="73"/>
      <c r="WEI42" s="73"/>
      <c r="WEJ42" s="73"/>
      <c r="WEK42" s="73"/>
      <c r="WEL42" s="73"/>
      <c r="WEM42" s="73"/>
      <c r="WEN42" s="73"/>
      <c r="WEO42" s="73"/>
      <c r="WEP42" s="73"/>
      <c r="WEQ42" s="73"/>
      <c r="WER42" s="73"/>
      <c r="WES42" s="73"/>
      <c r="WET42" s="73"/>
      <c r="WEU42" s="73"/>
      <c r="WEV42" s="73"/>
      <c r="WEW42" s="73"/>
      <c r="WEX42" s="73"/>
      <c r="WEY42" s="73"/>
      <c r="WEZ42" s="73"/>
      <c r="WFA42" s="73"/>
      <c r="WFB42" s="73"/>
      <c r="WFC42" s="73"/>
      <c r="WFD42" s="73"/>
      <c r="WFE42" s="73"/>
      <c r="WFF42" s="73"/>
      <c r="WFG42" s="73"/>
      <c r="WFH42" s="73"/>
      <c r="WFI42" s="73"/>
      <c r="WFJ42" s="73"/>
      <c r="WFK42" s="73"/>
      <c r="WFL42" s="73"/>
      <c r="WFM42" s="73"/>
      <c r="WFN42" s="73"/>
      <c r="WFO42" s="73"/>
      <c r="WFP42" s="73"/>
      <c r="WFQ42" s="73"/>
      <c r="WFR42" s="73"/>
      <c r="WFS42" s="73"/>
      <c r="WFT42" s="73"/>
      <c r="WFU42" s="73"/>
      <c r="WFV42" s="73"/>
      <c r="WFW42" s="73"/>
      <c r="WFX42" s="73"/>
      <c r="WFY42" s="73"/>
      <c r="WFZ42" s="73"/>
      <c r="WGA42" s="73"/>
      <c r="WGB42" s="73"/>
      <c r="WGC42" s="73"/>
      <c r="WGD42" s="73"/>
      <c r="WGE42" s="73"/>
      <c r="WGF42" s="73"/>
      <c r="WGG42" s="73"/>
      <c r="WGH42" s="73"/>
      <c r="WGI42" s="73"/>
      <c r="WGJ42" s="73"/>
      <c r="WGK42" s="73"/>
      <c r="WGL42" s="73"/>
      <c r="WGM42" s="73"/>
      <c r="WGN42" s="73"/>
      <c r="WGO42" s="73"/>
      <c r="WGP42" s="73"/>
      <c r="WGQ42" s="73"/>
      <c r="WGR42" s="73"/>
      <c r="WGS42" s="73"/>
      <c r="WGT42" s="73"/>
      <c r="WGU42" s="73"/>
      <c r="WGV42" s="73"/>
      <c r="WGW42" s="73"/>
      <c r="WGX42" s="73"/>
      <c r="WGY42" s="73"/>
      <c r="WGZ42" s="73"/>
      <c r="WHA42" s="73"/>
      <c r="WHB42" s="73"/>
      <c r="WHC42" s="73"/>
      <c r="WHD42" s="73"/>
      <c r="WHE42" s="73"/>
      <c r="WHF42" s="73"/>
      <c r="WHG42" s="73"/>
      <c r="WHH42" s="73"/>
      <c r="WHI42" s="73"/>
      <c r="WHJ42" s="73"/>
      <c r="WHK42" s="73"/>
      <c r="WHL42" s="73"/>
      <c r="WHM42" s="73"/>
      <c r="WHN42" s="73"/>
      <c r="WHO42" s="73"/>
      <c r="WHP42" s="73"/>
      <c r="WHQ42" s="73"/>
      <c r="WHR42" s="73"/>
      <c r="WHS42" s="73"/>
      <c r="WHT42" s="73"/>
      <c r="WHU42" s="73"/>
      <c r="WHV42" s="73"/>
      <c r="WHW42" s="73"/>
      <c r="WHX42" s="73"/>
      <c r="WHY42" s="73"/>
      <c r="WHZ42" s="73"/>
      <c r="WIA42" s="73"/>
      <c r="WIB42" s="73"/>
      <c r="WIC42" s="73"/>
      <c r="WID42" s="73"/>
      <c r="WIE42" s="73"/>
      <c r="WIF42" s="73"/>
      <c r="WIG42" s="73"/>
      <c r="WIH42" s="73"/>
      <c r="WII42" s="73"/>
      <c r="WIJ42" s="73"/>
      <c r="WIK42" s="73"/>
      <c r="WIL42" s="73"/>
      <c r="WIM42" s="73"/>
      <c r="WIN42" s="73"/>
      <c r="WIO42" s="73"/>
      <c r="WIP42" s="73"/>
      <c r="WIQ42" s="73"/>
      <c r="WIR42" s="73"/>
      <c r="WIS42" s="73"/>
      <c r="WIT42" s="73"/>
      <c r="WIU42" s="73"/>
      <c r="WIV42" s="73"/>
      <c r="WIW42" s="73"/>
      <c r="WIX42" s="73"/>
      <c r="WIY42" s="73"/>
      <c r="WIZ42" s="73"/>
      <c r="WJA42" s="73"/>
      <c r="WJB42" s="73"/>
      <c r="WJC42" s="73"/>
      <c r="WJD42" s="73"/>
      <c r="WJE42" s="73"/>
      <c r="WJF42" s="73"/>
      <c r="WJG42" s="73"/>
      <c r="WJH42" s="73"/>
      <c r="WJI42" s="73"/>
      <c r="WJJ42" s="73"/>
      <c r="WJK42" s="73"/>
      <c r="WJL42" s="73"/>
      <c r="WJM42" s="73"/>
      <c r="WJN42" s="73"/>
      <c r="WJO42" s="73"/>
      <c r="WJP42" s="73"/>
      <c r="WJQ42" s="73"/>
      <c r="WJR42" s="73"/>
      <c r="WJS42" s="73"/>
      <c r="WJT42" s="73"/>
      <c r="WJU42" s="73"/>
      <c r="WJV42" s="73"/>
      <c r="WJW42" s="73"/>
      <c r="WJX42" s="73"/>
      <c r="WJY42" s="73"/>
      <c r="WJZ42" s="73"/>
      <c r="WKA42" s="73"/>
      <c r="WKB42" s="73"/>
      <c r="WKC42" s="73"/>
      <c r="WKD42" s="73"/>
      <c r="WKE42" s="73"/>
      <c r="WKF42" s="73"/>
      <c r="WKG42" s="73"/>
      <c r="WKH42" s="73"/>
      <c r="WKI42" s="73"/>
      <c r="WKJ42" s="73"/>
      <c r="WKK42" s="73"/>
      <c r="WKL42" s="73"/>
      <c r="WKM42" s="73"/>
      <c r="WKN42" s="73"/>
      <c r="WKO42" s="73"/>
      <c r="WKP42" s="73"/>
      <c r="WKQ42" s="73"/>
      <c r="WKR42" s="73"/>
      <c r="WKS42" s="73"/>
      <c r="WKT42" s="73"/>
      <c r="WKU42" s="73"/>
      <c r="WKV42" s="73"/>
      <c r="WKW42" s="73"/>
      <c r="WKX42" s="73"/>
      <c r="WKY42" s="73"/>
      <c r="WKZ42" s="73"/>
      <c r="WLA42" s="73"/>
      <c r="WLB42" s="73"/>
      <c r="WLC42" s="73"/>
      <c r="WLD42" s="73"/>
      <c r="WLE42" s="73"/>
      <c r="WLF42" s="73"/>
      <c r="WLG42" s="73"/>
      <c r="WLH42" s="73"/>
      <c r="WLI42" s="73"/>
      <c r="WLJ42" s="73"/>
      <c r="WLK42" s="73"/>
      <c r="WLL42" s="73"/>
      <c r="WLM42" s="73"/>
      <c r="WLN42" s="73"/>
      <c r="WLO42" s="73"/>
      <c r="WLP42" s="73"/>
      <c r="WLQ42" s="73"/>
      <c r="WLR42" s="73"/>
      <c r="WLS42" s="73"/>
      <c r="WLT42" s="73"/>
      <c r="WLU42" s="73"/>
      <c r="WLV42" s="73"/>
      <c r="WLW42" s="73"/>
      <c r="WLX42" s="73"/>
      <c r="WLY42" s="73"/>
      <c r="WLZ42" s="73"/>
      <c r="WMA42" s="73"/>
      <c r="WMB42" s="73"/>
      <c r="WMC42" s="73"/>
      <c r="WMD42" s="73"/>
      <c r="WME42" s="73"/>
      <c r="WMF42" s="73"/>
      <c r="WMG42" s="73"/>
      <c r="WMH42" s="73"/>
      <c r="WMI42" s="73"/>
      <c r="WMJ42" s="73"/>
      <c r="WMK42" s="73"/>
      <c r="WML42" s="73"/>
      <c r="WMM42" s="73"/>
      <c r="WMN42" s="73"/>
      <c r="WMO42" s="73"/>
      <c r="WMP42" s="73"/>
      <c r="WMQ42" s="73"/>
      <c r="WMR42" s="73"/>
      <c r="WMS42" s="73"/>
      <c r="WMT42" s="73"/>
      <c r="WMU42" s="73"/>
      <c r="WMV42" s="73"/>
      <c r="WMW42" s="73"/>
      <c r="WMX42" s="73"/>
      <c r="WMY42" s="73"/>
      <c r="WMZ42" s="73"/>
      <c r="WNA42" s="73"/>
      <c r="WNB42" s="73"/>
      <c r="WNC42" s="73"/>
      <c r="WND42" s="73"/>
      <c r="WNE42" s="73"/>
      <c r="WNF42" s="73"/>
      <c r="WNG42" s="73"/>
      <c r="WNH42" s="73"/>
      <c r="WNI42" s="73"/>
      <c r="WNJ42" s="73"/>
      <c r="WNK42" s="73"/>
      <c r="WNL42" s="73"/>
      <c r="WNM42" s="73"/>
      <c r="WNN42" s="73"/>
      <c r="WNO42" s="73"/>
      <c r="WNP42" s="73"/>
      <c r="WNQ42" s="73"/>
      <c r="WNR42" s="73"/>
      <c r="WNS42" s="73"/>
      <c r="WNT42" s="73"/>
      <c r="WNU42" s="73"/>
      <c r="WNV42" s="73"/>
      <c r="WNW42" s="73"/>
      <c r="WNX42" s="73"/>
      <c r="WNY42" s="73"/>
      <c r="WNZ42" s="73"/>
      <c r="WOA42" s="73"/>
      <c r="WOB42" s="73"/>
      <c r="WOC42" s="73"/>
      <c r="WOD42" s="73"/>
      <c r="WOE42" s="73"/>
      <c r="WOF42" s="73"/>
      <c r="WOG42" s="73"/>
      <c r="WOH42" s="73"/>
      <c r="WOI42" s="73"/>
      <c r="WOJ42" s="73"/>
      <c r="WOK42" s="73"/>
      <c r="WOL42" s="73"/>
      <c r="WOM42" s="73"/>
      <c r="WON42" s="73"/>
      <c r="WOO42" s="73"/>
      <c r="WOP42" s="73"/>
      <c r="WOQ42" s="73"/>
      <c r="WOR42" s="73"/>
      <c r="WOS42" s="73"/>
      <c r="WOT42" s="73"/>
      <c r="WOU42" s="73"/>
      <c r="WOV42" s="73"/>
      <c r="WOW42" s="73"/>
      <c r="WOX42" s="73"/>
      <c r="WOY42" s="73"/>
      <c r="WOZ42" s="73"/>
      <c r="WPA42" s="73"/>
      <c r="WPB42" s="73"/>
      <c r="WPC42" s="73"/>
      <c r="WPD42" s="73"/>
      <c r="WPE42" s="73"/>
      <c r="WPF42" s="73"/>
      <c r="WPG42" s="73"/>
      <c r="WPH42" s="73"/>
      <c r="WPI42" s="73"/>
      <c r="WPJ42" s="73"/>
      <c r="WPK42" s="73"/>
      <c r="WPL42" s="73"/>
      <c r="WPM42" s="73"/>
      <c r="WPN42" s="73"/>
      <c r="WPO42" s="73"/>
      <c r="WPP42" s="73"/>
      <c r="WPQ42" s="73"/>
      <c r="WPR42" s="73"/>
      <c r="WPS42" s="73"/>
      <c r="WPT42" s="73"/>
      <c r="WPU42" s="73"/>
      <c r="WPV42" s="73"/>
      <c r="WPW42" s="73"/>
      <c r="WPX42" s="73"/>
      <c r="WPY42" s="73"/>
      <c r="WPZ42" s="73"/>
      <c r="WQA42" s="73"/>
      <c r="WQB42" s="73"/>
      <c r="WQC42" s="73"/>
      <c r="WQD42" s="73"/>
      <c r="WQE42" s="73"/>
      <c r="WQF42" s="73"/>
      <c r="WQG42" s="73"/>
      <c r="WQH42" s="73"/>
      <c r="WQI42" s="73"/>
      <c r="WQJ42" s="73"/>
      <c r="WQK42" s="73"/>
      <c r="WQL42" s="73"/>
      <c r="WQM42" s="73"/>
      <c r="WQN42" s="73"/>
      <c r="WQO42" s="73"/>
      <c r="WQP42" s="73"/>
      <c r="WQQ42" s="73"/>
      <c r="WQR42" s="73"/>
      <c r="WQS42" s="73"/>
      <c r="WQT42" s="73"/>
      <c r="WQU42" s="73"/>
      <c r="WQV42" s="73"/>
      <c r="WQW42" s="73"/>
      <c r="WQX42" s="73"/>
      <c r="WQY42" s="73"/>
      <c r="WQZ42" s="73"/>
      <c r="WRA42" s="73"/>
      <c r="WRB42" s="73"/>
      <c r="WRC42" s="73"/>
      <c r="WRD42" s="73"/>
      <c r="WRE42" s="73"/>
      <c r="WRF42" s="73"/>
      <c r="WRG42" s="73"/>
      <c r="WRH42" s="73"/>
      <c r="WRI42" s="73"/>
      <c r="WRJ42" s="73"/>
      <c r="WRK42" s="73"/>
      <c r="WRL42" s="73"/>
      <c r="WRM42" s="73"/>
      <c r="WRN42" s="73"/>
      <c r="WRO42" s="73"/>
      <c r="WRP42" s="73"/>
      <c r="WRQ42" s="73"/>
      <c r="WRR42" s="73"/>
      <c r="WRS42" s="73"/>
      <c r="WRT42" s="73"/>
      <c r="WRU42" s="73"/>
      <c r="WRV42" s="73"/>
      <c r="WRW42" s="73"/>
      <c r="WRX42" s="73"/>
      <c r="WRY42" s="73"/>
      <c r="WRZ42" s="73"/>
      <c r="WSA42" s="73"/>
      <c r="WSB42" s="73"/>
      <c r="WSC42" s="73"/>
      <c r="WSD42" s="73"/>
      <c r="WSE42" s="73"/>
      <c r="WSF42" s="73"/>
      <c r="WSG42" s="73"/>
      <c r="WSH42" s="73"/>
      <c r="WSI42" s="73"/>
      <c r="WSJ42" s="73"/>
      <c r="WSK42" s="73"/>
      <c r="WSL42" s="73"/>
      <c r="WSM42" s="73"/>
      <c r="WSN42" s="73"/>
      <c r="WSO42" s="73"/>
      <c r="WSP42" s="73"/>
      <c r="WSQ42" s="73"/>
      <c r="WSR42" s="73"/>
      <c r="WSS42" s="73"/>
      <c r="WST42" s="73"/>
      <c r="WSU42" s="73"/>
      <c r="WSV42" s="73"/>
      <c r="WSW42" s="73"/>
      <c r="WSX42" s="73"/>
      <c r="WSY42" s="73"/>
      <c r="WSZ42" s="73"/>
      <c r="WTA42" s="73"/>
      <c r="WTB42" s="73"/>
      <c r="WTC42" s="73"/>
      <c r="WTD42" s="73"/>
      <c r="WTE42" s="73"/>
      <c r="WTF42" s="73"/>
      <c r="WTG42" s="73"/>
      <c r="WTH42" s="73"/>
      <c r="WTI42" s="73"/>
      <c r="WTJ42" s="73"/>
      <c r="WTK42" s="73"/>
      <c r="WTL42" s="73"/>
      <c r="WTM42" s="73"/>
      <c r="WTN42" s="73"/>
      <c r="WTO42" s="73"/>
      <c r="WTP42" s="73"/>
      <c r="WTQ42" s="73"/>
      <c r="WTR42" s="73"/>
      <c r="WTS42" s="73"/>
      <c r="WTT42" s="73"/>
      <c r="WTU42" s="73"/>
      <c r="WTV42" s="73"/>
      <c r="WTW42" s="73"/>
      <c r="WTX42" s="73"/>
      <c r="WTY42" s="73"/>
      <c r="WTZ42" s="73"/>
      <c r="WUA42" s="73"/>
      <c r="WUB42" s="73"/>
      <c r="WUC42" s="73"/>
      <c r="WUD42" s="73"/>
      <c r="WUE42" s="73"/>
      <c r="WUF42" s="73"/>
      <c r="WUG42" s="73"/>
      <c r="WUH42" s="73"/>
      <c r="WUI42" s="73"/>
      <c r="WUJ42" s="73"/>
      <c r="WUK42" s="73"/>
      <c r="WUL42" s="73"/>
      <c r="WUM42" s="73"/>
      <c r="WUN42" s="73"/>
      <c r="WUO42" s="73"/>
      <c r="WUP42" s="73"/>
      <c r="WUQ42" s="73"/>
      <c r="WUR42" s="73"/>
      <c r="WUS42" s="73"/>
      <c r="WUT42" s="73"/>
      <c r="WUU42" s="73"/>
      <c r="WUV42" s="73"/>
      <c r="WUW42" s="73"/>
      <c r="WUX42" s="73"/>
      <c r="WUY42" s="73"/>
      <c r="WUZ42" s="73"/>
      <c r="WVA42" s="73"/>
      <c r="WVB42" s="73"/>
      <c r="WVC42" s="73"/>
      <c r="WVD42" s="73"/>
      <c r="WVE42" s="73"/>
      <c r="WVF42" s="73"/>
      <c r="WVG42" s="73"/>
      <c r="WVH42" s="73"/>
      <c r="WVI42" s="73"/>
      <c r="WVJ42" s="73"/>
      <c r="WVK42" s="73"/>
      <c r="WVL42" s="73"/>
      <c r="WVM42" s="73"/>
      <c r="WVN42" s="73"/>
      <c r="WVO42" s="73"/>
      <c r="WVP42" s="73"/>
      <c r="WVQ42" s="73"/>
      <c r="WVR42" s="73"/>
      <c r="WVS42" s="73"/>
      <c r="WVT42" s="73"/>
      <c r="WVU42" s="73"/>
      <c r="WVV42" s="73"/>
      <c r="WVW42" s="73"/>
      <c r="WVX42" s="73"/>
      <c r="WVY42" s="73"/>
      <c r="WVZ42" s="73"/>
      <c r="WWA42" s="73"/>
      <c r="WWB42" s="73"/>
      <c r="WWC42" s="73"/>
      <c r="WWD42" s="73"/>
      <c r="WWE42" s="73"/>
      <c r="WWF42" s="73"/>
      <c r="WWG42" s="73"/>
      <c r="WWH42" s="73"/>
      <c r="WWI42" s="73"/>
      <c r="WWJ42" s="73"/>
      <c r="WWK42" s="73"/>
      <c r="WWL42" s="73"/>
      <c r="WWM42" s="73"/>
      <c r="WWN42" s="73"/>
      <c r="WWO42" s="73"/>
      <c r="WWP42" s="73"/>
      <c r="WWQ42" s="73"/>
      <c r="WWR42" s="73"/>
      <c r="WWS42" s="73"/>
      <c r="WWT42" s="73"/>
      <c r="WWU42" s="73"/>
      <c r="WWV42" s="73"/>
      <c r="WWW42" s="73"/>
      <c r="WWX42" s="73"/>
      <c r="WWY42" s="73"/>
      <c r="WWZ42" s="73"/>
      <c r="WXA42" s="73"/>
      <c r="WXB42" s="73"/>
      <c r="WXC42" s="73"/>
      <c r="WXD42" s="73"/>
      <c r="WXE42" s="73"/>
      <c r="WXF42" s="73"/>
      <c r="WXG42" s="73"/>
      <c r="WXH42" s="73"/>
      <c r="WXI42" s="73"/>
      <c r="WXJ42" s="73"/>
      <c r="WXK42" s="73"/>
      <c r="WXL42" s="73"/>
      <c r="WXM42" s="73"/>
      <c r="WXN42" s="73"/>
      <c r="WXO42" s="73"/>
      <c r="WXP42" s="73"/>
      <c r="WXQ42" s="73"/>
      <c r="WXR42" s="73"/>
      <c r="WXS42" s="73"/>
      <c r="WXT42" s="73"/>
      <c r="WXU42" s="73"/>
      <c r="WXV42" s="73"/>
      <c r="WXW42" s="73"/>
      <c r="WXX42" s="73"/>
      <c r="WXY42" s="73"/>
      <c r="WXZ42" s="73"/>
      <c r="WYA42" s="73"/>
      <c r="WYB42" s="73"/>
      <c r="WYC42" s="73"/>
      <c r="WYD42" s="73"/>
      <c r="WYE42" s="73"/>
      <c r="WYF42" s="73"/>
      <c r="WYG42" s="73"/>
      <c r="WYH42" s="73"/>
      <c r="WYI42" s="73"/>
      <c r="WYJ42" s="73"/>
      <c r="WYK42" s="73"/>
      <c r="WYL42" s="73"/>
      <c r="WYM42" s="73"/>
      <c r="WYN42" s="73"/>
      <c r="WYO42" s="73"/>
      <c r="WYP42" s="73"/>
      <c r="WYQ42" s="73"/>
      <c r="WYR42" s="73"/>
      <c r="WYS42" s="73"/>
      <c r="WYT42" s="73"/>
      <c r="WYU42" s="73"/>
      <c r="WYV42" s="73"/>
      <c r="WYW42" s="73"/>
      <c r="WYX42" s="73"/>
      <c r="WYY42" s="73"/>
      <c r="WYZ42" s="73"/>
      <c r="WZA42" s="73"/>
      <c r="WZB42" s="73"/>
      <c r="WZC42" s="73"/>
      <c r="WZD42" s="73"/>
      <c r="WZE42" s="73"/>
      <c r="WZF42" s="73"/>
      <c r="WZG42" s="73"/>
      <c r="WZH42" s="73"/>
      <c r="WZI42" s="73"/>
      <c r="WZJ42" s="73"/>
      <c r="WZK42" s="73"/>
      <c r="WZL42" s="73"/>
      <c r="WZM42" s="73"/>
      <c r="WZN42" s="73"/>
      <c r="WZO42" s="73"/>
      <c r="WZP42" s="73"/>
      <c r="WZQ42" s="73"/>
      <c r="WZR42" s="73"/>
      <c r="WZS42" s="73"/>
      <c r="WZT42" s="73"/>
      <c r="WZU42" s="73"/>
      <c r="WZV42" s="73"/>
      <c r="WZW42" s="73"/>
      <c r="WZX42" s="73"/>
      <c r="WZY42" s="73"/>
      <c r="WZZ42" s="73"/>
      <c r="XAA42" s="73"/>
      <c r="XAB42" s="73"/>
      <c r="XAC42" s="73"/>
      <c r="XAD42" s="73"/>
      <c r="XAE42" s="73"/>
      <c r="XAF42" s="73"/>
      <c r="XAG42" s="73"/>
      <c r="XAH42" s="73"/>
      <c r="XAI42" s="73"/>
      <c r="XAJ42" s="73"/>
      <c r="XAK42" s="73"/>
      <c r="XAL42" s="73"/>
      <c r="XAM42" s="73"/>
      <c r="XAN42" s="73"/>
      <c r="XAO42" s="73"/>
      <c r="XAP42" s="73"/>
      <c r="XAQ42" s="73"/>
      <c r="XAR42" s="73"/>
      <c r="XAS42" s="73"/>
      <c r="XAT42" s="73"/>
      <c r="XAU42" s="73"/>
      <c r="XAV42" s="73"/>
      <c r="XAW42" s="73"/>
      <c r="XAX42" s="73"/>
      <c r="XAY42" s="73"/>
      <c r="XAZ42" s="73"/>
      <c r="XBA42" s="73"/>
      <c r="XBB42" s="73"/>
      <c r="XBC42" s="73"/>
      <c r="XBD42" s="73"/>
      <c r="XBE42" s="73"/>
      <c r="XBF42" s="73"/>
      <c r="XBG42" s="73"/>
      <c r="XBH42" s="73"/>
      <c r="XBI42" s="73"/>
      <c r="XBJ42" s="73"/>
      <c r="XBK42" s="73"/>
      <c r="XBL42" s="73"/>
      <c r="XBM42" s="73"/>
      <c r="XBN42" s="73"/>
      <c r="XBO42" s="73"/>
      <c r="XBP42" s="73"/>
      <c r="XBQ42" s="73"/>
      <c r="XBR42" s="73"/>
      <c r="XBS42" s="73"/>
      <c r="XBT42" s="73"/>
      <c r="XBU42" s="73"/>
      <c r="XBV42" s="73"/>
      <c r="XBW42" s="73"/>
      <c r="XBX42" s="73"/>
      <c r="XBY42" s="73"/>
      <c r="XBZ42" s="73"/>
      <c r="XCA42" s="73"/>
      <c r="XCB42" s="73"/>
      <c r="XCC42" s="73"/>
      <c r="XCD42" s="73"/>
      <c r="XCE42" s="73"/>
      <c r="XCF42" s="73"/>
      <c r="XCG42" s="73"/>
      <c r="XCH42" s="73"/>
      <c r="XCI42" s="73"/>
      <c r="XCJ42" s="73"/>
      <c r="XCK42" s="73"/>
      <c r="XCL42" s="73"/>
      <c r="XCM42" s="73"/>
      <c r="XCN42" s="73"/>
      <c r="XCO42" s="73"/>
      <c r="XCP42" s="73"/>
      <c r="XCQ42" s="73"/>
      <c r="XCR42" s="73"/>
      <c r="XCS42" s="73"/>
      <c r="XCT42" s="73"/>
      <c r="XCU42" s="73"/>
      <c r="XCV42" s="73"/>
      <c r="XCW42" s="73"/>
      <c r="XCX42" s="73"/>
      <c r="XCY42" s="73"/>
      <c r="XCZ42" s="73"/>
      <c r="XDA42" s="73"/>
      <c r="XDB42" s="73"/>
      <c r="XDC42" s="73"/>
      <c r="XDD42" s="73"/>
      <c r="XDE42" s="73"/>
      <c r="XDF42" s="73"/>
      <c r="XDG42" s="73"/>
      <c r="XDH42" s="73"/>
      <c r="XDI42" s="73"/>
      <c r="XDJ42" s="73"/>
      <c r="XDK42" s="73"/>
      <c r="XDL42" s="73"/>
      <c r="XDM42" s="73"/>
      <c r="XDN42" s="73"/>
      <c r="XDO42" s="73"/>
      <c r="XDP42" s="73"/>
      <c r="XDQ42" s="73"/>
      <c r="XDR42" s="73"/>
      <c r="XDS42" s="73"/>
      <c r="XDT42" s="73"/>
      <c r="XDU42" s="73"/>
      <c r="XDV42" s="73"/>
      <c r="XDW42" s="73"/>
      <c r="XDX42" s="73"/>
      <c r="XDY42" s="73"/>
      <c r="XDZ42" s="73"/>
      <c r="XEA42" s="73"/>
      <c r="XEB42" s="73"/>
      <c r="XEC42" s="73"/>
      <c r="XED42" s="73"/>
      <c r="XEE42" s="73"/>
      <c r="XEF42" s="73"/>
      <c r="XEG42" s="73"/>
      <c r="XEH42" s="73"/>
      <c r="XEI42" s="73"/>
      <c r="XEJ42" s="73"/>
      <c r="XEK42" s="73"/>
      <c r="XEL42" s="73"/>
      <c r="XEM42" s="73"/>
      <c r="XEN42" s="73"/>
      <c r="XEO42" s="73"/>
      <c r="XEP42" s="73"/>
      <c r="XEQ42" s="73"/>
      <c r="XER42" s="73"/>
      <c r="XES42" s="73"/>
      <c r="XET42" s="73"/>
      <c r="XEU42" s="73"/>
      <c r="XEV42" s="73"/>
      <c r="XEW42" s="73"/>
      <c r="XEX42" s="73"/>
      <c r="XEY42" s="73"/>
      <c r="XEZ42" s="73"/>
      <c r="XFA42" s="73"/>
      <c r="XFB42" s="73"/>
      <c r="XFC42" s="73"/>
      <c r="XFD42" s="73"/>
    </row>
    <row r="43" spans="1:16384" x14ac:dyDescent="0.2">
      <c r="A43" s="89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7"/>
    </row>
    <row r="44" spans="1:16384" x14ac:dyDescent="0.2">
      <c r="A44" s="89"/>
      <c r="B44" s="102" t="s">
        <v>191</v>
      </c>
      <c r="C44" s="92" t="s">
        <v>168</v>
      </c>
      <c r="D44" s="78"/>
      <c r="E44" s="78"/>
      <c r="F44" s="78"/>
      <c r="G44" s="76"/>
      <c r="H44" s="76"/>
      <c r="I44" s="76"/>
      <c r="J44" s="76"/>
      <c r="K44" s="76"/>
      <c r="L44" s="76"/>
      <c r="M44" s="76"/>
      <c r="N44" s="77"/>
    </row>
    <row r="45" spans="1:16384" x14ac:dyDescent="0.2">
      <c r="A45" s="89"/>
      <c r="B45" s="78"/>
      <c r="C45" s="78" t="s">
        <v>47</v>
      </c>
      <c r="D45" s="78"/>
      <c r="E45" s="93">
        <f>+'Planilla Análisis ( isapre)'!D3</f>
        <v>26300</v>
      </c>
      <c r="F45" s="78"/>
      <c r="G45" s="76"/>
      <c r="H45" s="76"/>
      <c r="I45" s="76"/>
      <c r="J45" s="76"/>
      <c r="K45" s="76"/>
      <c r="L45" s="76"/>
      <c r="M45" s="76"/>
      <c r="N45" s="77"/>
    </row>
    <row r="46" spans="1:16384" x14ac:dyDescent="0.2">
      <c r="A46" s="89"/>
      <c r="B46" s="78"/>
      <c r="C46" s="78" t="s">
        <v>169</v>
      </c>
      <c r="D46" s="78"/>
      <c r="E46" s="586" t="s">
        <v>213</v>
      </c>
      <c r="F46" s="314"/>
      <c r="G46" s="76"/>
      <c r="H46" s="76"/>
      <c r="I46" s="76"/>
      <c r="J46" s="76"/>
      <c r="K46" s="76"/>
      <c r="L46" s="76"/>
      <c r="M46" s="76"/>
      <c r="N46" s="77"/>
    </row>
    <row r="47" spans="1:16384" x14ac:dyDescent="0.2">
      <c r="A47" s="89"/>
      <c r="B47" s="78"/>
      <c r="C47" s="78"/>
      <c r="D47" s="78"/>
      <c r="E47" s="313" t="s">
        <v>68</v>
      </c>
      <c r="F47" s="314"/>
      <c r="G47" s="76"/>
      <c r="H47" s="76"/>
      <c r="I47" s="76"/>
      <c r="J47" s="76"/>
      <c r="K47" s="76"/>
      <c r="L47" s="76"/>
      <c r="M47" s="76"/>
      <c r="N47" s="77"/>
    </row>
    <row r="48" spans="1:16384" x14ac:dyDescent="0.2">
      <c r="A48" s="89"/>
      <c r="B48" s="307" t="s">
        <v>160</v>
      </c>
      <c r="C48" s="78" t="s">
        <v>291</v>
      </c>
      <c r="D48" s="78"/>
      <c r="E48" s="313">
        <v>5.2</v>
      </c>
      <c r="F48" s="94" t="s">
        <v>429</v>
      </c>
      <c r="G48" s="76"/>
      <c r="H48" s="76"/>
      <c r="I48" s="76"/>
      <c r="J48" s="76"/>
      <c r="K48" s="76"/>
      <c r="L48" s="76"/>
      <c r="M48" s="76"/>
      <c r="N48" s="77"/>
    </row>
    <row r="49" spans="1:14" x14ac:dyDescent="0.2">
      <c r="A49" s="89"/>
      <c r="B49" s="307" t="str">
        <f>E22</f>
        <v>BANMEDICA</v>
      </c>
      <c r="C49" s="78" t="s">
        <v>292</v>
      </c>
      <c r="D49" s="78"/>
      <c r="E49" s="313">
        <v>0</v>
      </c>
      <c r="F49" s="94"/>
      <c r="G49" s="76"/>
      <c r="H49" s="76"/>
      <c r="I49" s="76"/>
      <c r="J49" s="76"/>
      <c r="K49" s="76"/>
      <c r="L49" s="76"/>
      <c r="M49" s="76"/>
      <c r="N49" s="77"/>
    </row>
    <row r="50" spans="1:14" x14ac:dyDescent="0.2">
      <c r="A50" s="89"/>
      <c r="B50" s="313"/>
      <c r="C50" s="78" t="s">
        <v>293</v>
      </c>
      <c r="D50" s="78"/>
      <c r="E50" s="313">
        <f>E48</f>
        <v>5.2</v>
      </c>
      <c r="F50" s="94" t="s">
        <v>429</v>
      </c>
      <c r="G50" s="76"/>
      <c r="H50" s="76"/>
      <c r="I50" s="76"/>
      <c r="J50" s="76"/>
      <c r="K50" s="76"/>
      <c r="L50" s="76"/>
      <c r="M50" s="76"/>
      <c r="N50" s="77"/>
    </row>
    <row r="51" spans="1:14" x14ac:dyDescent="0.2">
      <c r="A51" s="89"/>
      <c r="B51" s="313"/>
      <c r="C51" s="78"/>
      <c r="D51" s="78"/>
      <c r="E51" s="313"/>
      <c r="F51" s="94"/>
      <c r="G51" s="76"/>
      <c r="H51" s="76"/>
      <c r="I51" s="76"/>
      <c r="J51" s="76"/>
      <c r="K51" s="76"/>
      <c r="L51" s="76"/>
      <c r="M51" s="76"/>
      <c r="N51" s="77"/>
    </row>
    <row r="52" spans="1:14" x14ac:dyDescent="0.2">
      <c r="A52" s="89"/>
      <c r="B52" s="316" t="s">
        <v>299</v>
      </c>
      <c r="C52" s="78" t="s">
        <v>291</v>
      </c>
      <c r="D52" s="78"/>
      <c r="E52" s="221">
        <v>1.31</v>
      </c>
      <c r="F52" s="94" t="s">
        <v>429</v>
      </c>
      <c r="G52" s="76"/>
      <c r="H52" s="76"/>
      <c r="I52" s="76"/>
      <c r="J52" s="76"/>
      <c r="K52" s="76"/>
      <c r="L52" s="76"/>
      <c r="M52" s="76"/>
      <c r="N52" s="77"/>
    </row>
    <row r="53" spans="1:14" x14ac:dyDescent="0.2">
      <c r="A53" s="89"/>
      <c r="B53" s="316" t="s">
        <v>505</v>
      </c>
      <c r="C53" s="78" t="s">
        <v>202</v>
      </c>
      <c r="D53" s="78"/>
      <c r="E53" s="221">
        <v>0</v>
      </c>
      <c r="F53" s="94"/>
      <c r="G53" s="76"/>
      <c r="H53" s="76"/>
      <c r="I53" s="76"/>
      <c r="J53" s="76"/>
      <c r="K53" s="76"/>
      <c r="L53" s="76"/>
      <c r="M53" s="76"/>
      <c r="N53" s="77"/>
    </row>
    <row r="54" spans="1:14" x14ac:dyDescent="0.2">
      <c r="A54" s="89"/>
      <c r="B54" s="78"/>
      <c r="C54" s="78" t="s">
        <v>203</v>
      </c>
      <c r="D54" s="78"/>
      <c r="E54" s="313">
        <f>E52+E53</f>
        <v>1.31</v>
      </c>
      <c r="F54" s="94" t="s">
        <v>429</v>
      </c>
      <c r="G54" s="76"/>
      <c r="H54" s="76"/>
      <c r="I54" s="76"/>
      <c r="J54" s="76"/>
      <c r="K54" s="76"/>
      <c r="L54" s="76"/>
      <c r="M54" s="76"/>
      <c r="N54" s="77"/>
    </row>
    <row r="55" spans="1:14" x14ac:dyDescent="0.2">
      <c r="A55" s="89"/>
      <c r="B55" s="78"/>
      <c r="C55" s="78"/>
      <c r="D55" s="78"/>
      <c r="E55" s="313"/>
      <c r="F55" s="78"/>
      <c r="G55" s="76"/>
      <c r="H55" s="76"/>
      <c r="I55" s="76"/>
      <c r="J55" s="76"/>
      <c r="K55" s="76"/>
      <c r="L55" s="76"/>
      <c r="M55" s="76"/>
      <c r="N55" s="77"/>
    </row>
    <row r="56" spans="1:14" x14ac:dyDescent="0.2">
      <c r="A56" s="89"/>
      <c r="B56" s="78"/>
      <c r="C56" s="318" t="s">
        <v>204</v>
      </c>
      <c r="D56" s="319"/>
      <c r="E56" s="320">
        <f>E50-E54</f>
        <v>3.89</v>
      </c>
      <c r="F56" s="78"/>
      <c r="G56" s="76"/>
      <c r="H56" s="76"/>
      <c r="I56" s="76"/>
      <c r="J56" s="76"/>
      <c r="K56" s="76"/>
      <c r="L56" s="76"/>
      <c r="M56" s="76"/>
      <c r="N56" s="77"/>
    </row>
    <row r="57" spans="1:14" x14ac:dyDescent="0.2">
      <c r="A57" s="89"/>
      <c r="B57" s="78"/>
      <c r="C57" s="161" t="s">
        <v>403</v>
      </c>
      <c r="D57" s="162"/>
      <c r="E57" s="321">
        <f>E56*E45</f>
        <v>102307</v>
      </c>
      <c r="F57" s="78"/>
      <c r="G57" s="76"/>
      <c r="H57" s="76"/>
      <c r="I57" s="76"/>
      <c r="J57" s="76"/>
      <c r="K57" s="76"/>
      <c r="L57" s="76"/>
      <c r="M57" s="76"/>
      <c r="N57" s="77"/>
    </row>
    <row r="58" spans="1:14" x14ac:dyDescent="0.2">
      <c r="A58" s="89"/>
      <c r="B58" s="78"/>
      <c r="C58" s="78"/>
      <c r="D58" s="78"/>
      <c r="E58" s="78"/>
      <c r="F58" s="78"/>
      <c r="G58" s="76"/>
      <c r="H58" s="76"/>
      <c r="I58" s="76"/>
      <c r="J58" s="76"/>
      <c r="K58" s="76"/>
      <c r="L58" s="76"/>
      <c r="M58" s="76"/>
      <c r="N58" s="77"/>
    </row>
    <row r="59" spans="1:14" x14ac:dyDescent="0.2">
      <c r="A59" s="89"/>
      <c r="B59" s="78"/>
      <c r="C59" s="78"/>
      <c r="D59" s="78"/>
      <c r="E59" s="829" t="s">
        <v>174</v>
      </c>
      <c r="F59" s="829"/>
      <c r="G59" s="76"/>
      <c r="H59" s="76"/>
      <c r="I59" s="76"/>
      <c r="J59" s="76"/>
      <c r="K59" s="76"/>
      <c r="L59" s="76"/>
      <c r="M59" s="76"/>
      <c r="N59" s="77"/>
    </row>
    <row r="60" spans="1:14" x14ac:dyDescent="0.2">
      <c r="A60" s="89"/>
      <c r="B60" s="78"/>
      <c r="C60" s="125" t="s">
        <v>214</v>
      </c>
      <c r="D60" s="78"/>
      <c r="E60" s="313" t="s">
        <v>462</v>
      </c>
      <c r="F60" s="313" t="s">
        <v>294</v>
      </c>
      <c r="G60" s="76"/>
      <c r="H60" s="76"/>
      <c r="I60" s="76"/>
      <c r="J60" s="76"/>
      <c r="K60" s="76"/>
      <c r="L60" s="76"/>
      <c r="M60" s="76"/>
      <c r="N60" s="77"/>
    </row>
    <row r="61" spans="1:14" x14ac:dyDescent="0.2">
      <c r="A61" s="89"/>
      <c r="B61" s="78"/>
      <c r="C61" s="164" t="s">
        <v>461</v>
      </c>
      <c r="D61" s="78"/>
      <c r="E61" s="315">
        <v>20</v>
      </c>
      <c r="F61" s="188">
        <f>'Planilla Análisis ( isapre)'!I12/'Planilla Análisis ( isapre)'!D3</f>
        <v>1.4039847908745242</v>
      </c>
      <c r="G61" s="76"/>
      <c r="H61" s="76"/>
      <c r="I61" s="76"/>
      <c r="J61" s="76"/>
      <c r="K61" s="76"/>
      <c r="L61" s="76"/>
      <c r="M61" s="76"/>
      <c r="N61" s="77"/>
    </row>
    <row r="62" spans="1:14" x14ac:dyDescent="0.2">
      <c r="A62" s="89"/>
      <c r="B62" s="78"/>
      <c r="C62" s="164" t="s">
        <v>170</v>
      </c>
      <c r="D62" s="78"/>
      <c r="E62" s="315">
        <f>'Planilla Análisis ( isapre)'!D13</f>
        <v>1</v>
      </c>
      <c r="F62" s="443">
        <f>'Planilla Análisis ( isapre)'!I13/'Planilla Análisis ( isapre)'!D3</f>
        <v>0.2837642585551331</v>
      </c>
      <c r="G62" s="76"/>
      <c r="H62" s="76"/>
      <c r="I62" s="76"/>
      <c r="J62" s="76"/>
      <c r="K62" s="76"/>
      <c r="L62" s="76"/>
      <c r="M62" s="76"/>
      <c r="N62" s="77"/>
    </row>
    <row r="63" spans="1:14" x14ac:dyDescent="0.2">
      <c r="A63" s="89"/>
      <c r="B63" s="78"/>
      <c r="C63" s="164" t="s">
        <v>171</v>
      </c>
      <c r="D63" s="78"/>
      <c r="E63" s="315">
        <v>12</v>
      </c>
      <c r="F63" s="188">
        <f>('Planilla Análisis ( isapre)'!I23+'Planilla Análisis ( isapre)'!I30)/'Planilla Análisis ( isapre)'!D3</f>
        <v>8.5181825095057029</v>
      </c>
      <c r="G63" s="76"/>
      <c r="H63" s="76"/>
      <c r="I63" s="76"/>
      <c r="J63" s="76"/>
      <c r="K63" s="76"/>
      <c r="L63" s="76"/>
      <c r="M63" s="76"/>
      <c r="N63" s="77"/>
    </row>
    <row r="64" spans="1:14" x14ac:dyDescent="0.2">
      <c r="A64" s="89"/>
      <c r="B64" s="78"/>
      <c r="C64" s="164" t="s">
        <v>51</v>
      </c>
      <c r="D64" s="78"/>
      <c r="E64" s="315">
        <v>1</v>
      </c>
      <c r="F64" s="188">
        <f>('Planilla Análisis ( isapre)'!I77+'Planilla Análisis ( isapre)'!I85)/'Planilla Análisis ( isapre)'!D3</f>
        <v>6.1995818098859301</v>
      </c>
      <c r="G64" s="76"/>
      <c r="H64" s="76"/>
      <c r="I64" s="76"/>
      <c r="J64" s="76"/>
      <c r="K64" s="76"/>
      <c r="L64" s="76"/>
      <c r="M64" s="76"/>
      <c r="N64" s="77"/>
    </row>
    <row r="65" spans="1:16" x14ac:dyDescent="0.2">
      <c r="A65" s="89"/>
      <c r="B65" s="78"/>
      <c r="C65" s="164" t="s">
        <v>172</v>
      </c>
      <c r="D65" s="78"/>
      <c r="E65" s="315">
        <v>1</v>
      </c>
      <c r="F65" s="188">
        <f>('Planilla Análisis ( isapre)'!I50+'Planilla Análisis ( isapre)'!I63)/'Planilla Análisis ( isapre)'!D3</f>
        <v>328.21502243346009</v>
      </c>
      <c r="G65" s="76"/>
      <c r="H65" s="76"/>
      <c r="I65" s="76"/>
      <c r="J65" s="76"/>
      <c r="K65" s="76"/>
      <c r="L65" s="76"/>
      <c r="M65" s="76"/>
      <c r="N65" s="77"/>
    </row>
    <row r="66" spans="1:16" x14ac:dyDescent="0.2">
      <c r="A66" s="89"/>
      <c r="B66" s="78"/>
      <c r="C66" s="164" t="s">
        <v>173</v>
      </c>
      <c r="D66" s="78"/>
      <c r="E66" s="315">
        <v>0</v>
      </c>
      <c r="F66" s="315">
        <v>0</v>
      </c>
      <c r="G66" s="76"/>
      <c r="H66" s="76"/>
      <c r="I66" s="76"/>
      <c r="J66" s="76"/>
      <c r="K66" s="76"/>
      <c r="L66" s="76"/>
      <c r="M66" s="76"/>
      <c r="N66" s="77"/>
    </row>
    <row r="67" spans="1:16" x14ac:dyDescent="0.2">
      <c r="A67" s="89"/>
      <c r="B67" s="76"/>
      <c r="C67" s="76" t="s">
        <v>430</v>
      </c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7"/>
    </row>
    <row r="68" spans="1:16" x14ac:dyDescent="0.2">
      <c r="A68" s="89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7"/>
    </row>
    <row r="69" spans="1:16" x14ac:dyDescent="0.2">
      <c r="A69" s="89"/>
      <c r="B69" s="76"/>
      <c r="C69" s="196" t="s">
        <v>180</v>
      </c>
      <c r="D69" s="322"/>
      <c r="E69" s="308" t="s">
        <v>509</v>
      </c>
      <c r="F69" s="310"/>
      <c r="G69" s="310"/>
      <c r="H69" s="76"/>
      <c r="I69" s="76"/>
      <c r="J69" s="76"/>
      <c r="K69" s="76"/>
      <c r="L69" s="76"/>
      <c r="M69" s="76"/>
      <c r="N69" s="77"/>
    </row>
    <row r="70" spans="1:16" x14ac:dyDescent="0.2">
      <c r="A70" s="89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7"/>
    </row>
    <row r="71" spans="1:16" x14ac:dyDescent="0.2">
      <c r="A71" s="172"/>
      <c r="B71" s="76"/>
      <c r="C71" s="166" t="s">
        <v>179</v>
      </c>
      <c r="D71" s="95"/>
      <c r="E71" s="95"/>
      <c r="F71" s="95"/>
      <c r="G71" s="95"/>
      <c r="H71" s="96"/>
      <c r="I71" s="76"/>
      <c r="J71" s="166" t="s">
        <v>187</v>
      </c>
      <c r="K71" s="95"/>
      <c r="L71" s="95"/>
      <c r="M71" s="95"/>
      <c r="N71" s="173"/>
    </row>
    <row r="72" spans="1:16" x14ac:dyDescent="0.2">
      <c r="A72" s="172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173"/>
    </row>
    <row r="73" spans="1:16" x14ac:dyDescent="0.2">
      <c r="A73" s="89"/>
      <c r="B73" s="95"/>
      <c r="C73" s="103" t="s">
        <v>162</v>
      </c>
      <c r="D73" s="103" t="s">
        <v>182</v>
      </c>
      <c r="E73" s="103" t="s">
        <v>57</v>
      </c>
      <c r="F73" s="103" t="s">
        <v>183</v>
      </c>
      <c r="G73" s="103" t="s">
        <v>518</v>
      </c>
      <c r="H73" s="95"/>
      <c r="I73" s="95"/>
      <c r="J73" s="103" t="s">
        <v>162</v>
      </c>
      <c r="K73" s="103" t="s">
        <v>182</v>
      </c>
      <c r="L73" s="103" t="s">
        <v>57</v>
      </c>
      <c r="M73" s="103" t="s">
        <v>183</v>
      </c>
      <c r="N73" s="305" t="s">
        <v>512</v>
      </c>
    </row>
    <row r="74" spans="1:16" x14ac:dyDescent="0.2">
      <c r="A74" s="89"/>
      <c r="B74" s="97" t="s">
        <v>58</v>
      </c>
      <c r="C74" s="88">
        <f>'Planilla Análisis ( isapre)'!F138</f>
        <v>0.7124399652890826</v>
      </c>
      <c r="D74" s="88">
        <f>'Planilla Análisis ( isapre)'!G138</f>
        <v>0.2875600347109174</v>
      </c>
      <c r="E74" s="180" t="str">
        <f>E22</f>
        <v>BANMEDICA</v>
      </c>
      <c r="F74" s="180" t="str">
        <f>E23</f>
        <v>Plata 23/10</v>
      </c>
      <c r="G74" s="596">
        <f>K99</f>
        <v>8795104.0915999971</v>
      </c>
      <c r="H74" s="95"/>
      <c r="I74" s="97" t="s">
        <v>58</v>
      </c>
      <c r="J74" s="88">
        <f>'Planilla Análisis ( isapre)'!N138</f>
        <v>0.73381912084228729</v>
      </c>
      <c r="K74" s="88">
        <f>'Planilla Análisis ( isapre)'!O138</f>
        <v>0.26618087915771271</v>
      </c>
      <c r="L74" s="180" t="str">
        <f>E74</f>
        <v>BANMEDICA</v>
      </c>
      <c r="M74" s="180" t="str">
        <f>F74</f>
        <v>Plata 23/10</v>
      </c>
      <c r="N74" s="596">
        <f>K104</f>
        <v>268416</v>
      </c>
    </row>
    <row r="75" spans="1:16" x14ac:dyDescent="0.2">
      <c r="A75" s="89"/>
      <c r="B75" s="97" t="s">
        <v>364</v>
      </c>
      <c r="C75" s="106">
        <f>'Planilla Análisis ( isapre)'!F139</f>
        <v>0.78438320443310416</v>
      </c>
      <c r="D75" s="107">
        <f>'Planilla Análisis ( isapre)'!G139</f>
        <v>0.21561679556689584</v>
      </c>
      <c r="E75" s="108" t="str">
        <f>B53</f>
        <v>BANMEDICA</v>
      </c>
      <c r="F75" s="109" t="str">
        <f>C99</f>
        <v>Tola Plata ZC/15B</v>
      </c>
      <c r="G75" s="597">
        <f>K100</f>
        <v>6594699.9999999953</v>
      </c>
      <c r="H75" s="95"/>
      <c r="I75" s="97" t="s">
        <v>364</v>
      </c>
      <c r="J75" s="106">
        <f>'Planilla Análisis ( isapre)'!N139</f>
        <v>0.8</v>
      </c>
      <c r="K75" s="107">
        <f>'Planilla Análisis ( isapre)'!O139</f>
        <v>0.19999999999999996</v>
      </c>
      <c r="L75" s="108" t="str">
        <f>E75</f>
        <v>BANMEDICA</v>
      </c>
      <c r="M75" s="109" t="str">
        <f>F75</f>
        <v>Tola Plata ZC/15B</v>
      </c>
      <c r="N75" s="597">
        <f>K105</f>
        <v>201679.39999999997</v>
      </c>
    </row>
    <row r="76" spans="1:16" x14ac:dyDescent="0.2">
      <c r="A76" s="89"/>
      <c r="B76" s="97" t="s">
        <v>216</v>
      </c>
      <c r="C76" s="87"/>
      <c r="D76" s="87"/>
      <c r="E76" s="108" t="s">
        <v>400</v>
      </c>
      <c r="F76" s="109">
        <v>0.7</v>
      </c>
      <c r="G76" s="595"/>
      <c r="H76" s="95"/>
      <c r="I76" s="97" t="s">
        <v>216</v>
      </c>
      <c r="J76" s="87"/>
      <c r="K76" s="87"/>
      <c r="L76" s="108" t="s">
        <v>400</v>
      </c>
      <c r="M76" s="109">
        <v>0.7</v>
      </c>
      <c r="N76" s="595"/>
      <c r="P76" s="89"/>
    </row>
    <row r="77" spans="1:16" x14ac:dyDescent="0.2">
      <c r="A77" s="89"/>
      <c r="B77" s="97" t="s">
        <v>300</v>
      </c>
      <c r="C77" s="830" t="s">
        <v>405</v>
      </c>
      <c r="D77" s="831"/>
      <c r="E77" s="831"/>
      <c r="F77" s="832"/>
      <c r="G77" s="95"/>
      <c r="H77" s="95"/>
      <c r="I77" s="97" t="s">
        <v>300</v>
      </c>
      <c r="J77" s="830" t="str">
        <f>C77</f>
        <v>REDUCIDA</v>
      </c>
      <c r="K77" s="831"/>
      <c r="L77" s="831"/>
      <c r="M77" s="832"/>
      <c r="N77" s="173"/>
    </row>
    <row r="78" spans="1:16" x14ac:dyDescent="0.2">
      <c r="A78" s="89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7"/>
    </row>
    <row r="79" spans="1:16" x14ac:dyDescent="0.2">
      <c r="A79" s="89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7"/>
    </row>
    <row r="80" spans="1:16" x14ac:dyDescent="0.2">
      <c r="A80" s="89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7"/>
    </row>
    <row r="81" spans="1:14" x14ac:dyDescent="0.2">
      <c r="A81" s="89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7"/>
    </row>
    <row r="82" spans="1:14" x14ac:dyDescent="0.2">
      <c r="A82" s="89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7"/>
    </row>
    <row r="83" spans="1:14" x14ac:dyDescent="0.2">
      <c r="A83" s="89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7"/>
    </row>
    <row r="84" spans="1:14" x14ac:dyDescent="0.2">
      <c r="A84" s="89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7"/>
    </row>
    <row r="85" spans="1:14" x14ac:dyDescent="0.2">
      <c r="A85" s="89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7"/>
    </row>
    <row r="86" spans="1:14" x14ac:dyDescent="0.2">
      <c r="A86" s="89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7"/>
    </row>
    <row r="87" spans="1:14" x14ac:dyDescent="0.2">
      <c r="A87" s="89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7"/>
    </row>
    <row r="88" spans="1:14" x14ac:dyDescent="0.2">
      <c r="A88" s="89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7"/>
    </row>
    <row r="89" spans="1:14" x14ac:dyDescent="0.2">
      <c r="A89" s="89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7"/>
    </row>
    <row r="90" spans="1:14" x14ac:dyDescent="0.2">
      <c r="A90" s="89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7"/>
    </row>
    <row r="91" spans="1:14" ht="12.75" customHeight="1" x14ac:dyDescent="0.2">
      <c r="A91" s="89"/>
      <c r="B91" s="76"/>
      <c r="C91" s="76"/>
      <c r="D91" s="76"/>
      <c r="E91" s="76"/>
      <c r="F91" s="76"/>
      <c r="G91" s="76"/>
      <c r="H91" s="76"/>
      <c r="I91" s="76"/>
      <c r="J91" s="835"/>
      <c r="K91" s="835"/>
      <c r="L91" s="835"/>
      <c r="M91" s="835"/>
      <c r="N91" s="837"/>
    </row>
    <row r="92" spans="1:14" x14ac:dyDescent="0.2">
      <c r="A92" s="89"/>
      <c r="B92" s="76"/>
      <c r="C92" s="835"/>
      <c r="D92" s="835"/>
      <c r="E92" s="835"/>
      <c r="F92" s="835"/>
      <c r="G92" s="835"/>
      <c r="H92" s="76"/>
      <c r="I92" s="76"/>
      <c r="J92" s="835"/>
      <c r="K92" s="835"/>
      <c r="L92" s="835"/>
      <c r="M92" s="835"/>
      <c r="N92" s="837"/>
    </row>
    <row r="93" spans="1:14" x14ac:dyDescent="0.2">
      <c r="A93" s="89"/>
      <c r="B93" s="588"/>
      <c r="C93" s="587"/>
      <c r="D93" s="587"/>
      <c r="E93" s="587"/>
      <c r="F93" s="587"/>
      <c r="G93" s="587"/>
      <c r="H93" s="76"/>
      <c r="I93" s="76"/>
      <c r="J93" s="835"/>
      <c r="K93" s="835"/>
      <c r="L93" s="835"/>
      <c r="M93" s="835"/>
      <c r="N93" s="837"/>
    </row>
    <row r="94" spans="1:14" x14ac:dyDescent="0.2">
      <c r="A94" s="89"/>
      <c r="B94" s="76"/>
      <c r="C94" s="836"/>
      <c r="D94" s="836"/>
      <c r="E94" s="836"/>
      <c r="F94" s="836"/>
      <c r="G94" s="100"/>
      <c r="H94" s="76"/>
      <c r="I94" s="76"/>
      <c r="J94" s="835"/>
      <c r="K94" s="835"/>
      <c r="L94" s="835"/>
      <c r="M94" s="835"/>
      <c r="N94" s="306"/>
    </row>
    <row r="95" spans="1:14" x14ac:dyDescent="0.2">
      <c r="A95" s="89"/>
      <c r="B95" s="76"/>
      <c r="C95" s="98"/>
      <c r="D95" s="98"/>
      <c r="E95" s="98"/>
      <c r="F95" s="98"/>
      <c r="G95" s="98"/>
      <c r="H95" s="76"/>
      <c r="I95" s="76"/>
      <c r="J95" s="98"/>
      <c r="K95" s="99"/>
      <c r="L95" s="99"/>
      <c r="M95" s="99"/>
      <c r="N95" s="174"/>
    </row>
    <row r="96" spans="1:14" x14ac:dyDescent="0.2">
      <c r="A96" s="89"/>
      <c r="B96" s="101" t="s">
        <v>459</v>
      </c>
      <c r="C96" s="447" t="s">
        <v>460</v>
      </c>
      <c r="D96" s="76"/>
      <c r="E96" s="76"/>
      <c r="F96" s="76"/>
      <c r="G96" s="76"/>
      <c r="H96" s="76"/>
      <c r="I96" s="591" t="s">
        <v>510</v>
      </c>
      <c r="J96" s="76"/>
      <c r="K96" s="76"/>
      <c r="L96" s="76"/>
      <c r="M96" s="76"/>
      <c r="N96" s="77"/>
    </row>
    <row r="97" spans="1:14" x14ac:dyDescent="0.2">
      <c r="A97" s="89"/>
      <c r="B97" s="98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7"/>
    </row>
    <row r="98" spans="1:14" ht="12.75" x14ac:dyDescent="0.2">
      <c r="A98" s="89"/>
      <c r="B98" s="312" t="s">
        <v>57</v>
      </c>
      <c r="C98" s="826" t="str">
        <f>B53</f>
        <v>BANMEDICA</v>
      </c>
      <c r="D98" s="826"/>
      <c r="E98" s="826"/>
      <c r="F98" s="826"/>
      <c r="G98" s="78"/>
      <c r="I98" s="589" t="s">
        <v>517</v>
      </c>
      <c r="J98" s="589" t="s">
        <v>511</v>
      </c>
      <c r="K98" s="589" t="s">
        <v>512</v>
      </c>
      <c r="L98" s="78"/>
      <c r="M98" s="76"/>
      <c r="N98" s="77"/>
    </row>
    <row r="99" spans="1:14" ht="12.75" x14ac:dyDescent="0.2">
      <c r="A99" s="89"/>
      <c r="B99" s="312" t="s">
        <v>215</v>
      </c>
      <c r="C99" s="827" t="s">
        <v>506</v>
      </c>
      <c r="D99" s="827"/>
      <c r="E99" s="827"/>
      <c r="F99" s="827"/>
      <c r="G99" s="78"/>
      <c r="I99" s="593" t="s">
        <v>513</v>
      </c>
      <c r="J99" s="590">
        <f>'Planilla Análisis ( isapre)'!E95</f>
        <v>30585279.697999999</v>
      </c>
      <c r="K99" s="590">
        <f>'Planilla Análisis ( isapre)'!I95*'Planilla Análisis ( isapre)'!E95</f>
        <v>8795104.0915999971</v>
      </c>
      <c r="L99" s="78"/>
      <c r="M99" s="76"/>
      <c r="N99" s="77"/>
    </row>
    <row r="100" spans="1:14" ht="12.75" x14ac:dyDescent="0.2">
      <c r="A100" s="89"/>
      <c r="B100" s="312" t="s">
        <v>216</v>
      </c>
      <c r="C100" s="826" t="s">
        <v>400</v>
      </c>
      <c r="D100" s="826"/>
      <c r="E100" s="826"/>
      <c r="F100" s="826"/>
      <c r="G100" s="78"/>
      <c r="I100" s="593" t="s">
        <v>514</v>
      </c>
      <c r="J100" s="590">
        <f>'Planilla Análisis ( isapre)'!E95</f>
        <v>30585279.697999999</v>
      </c>
      <c r="K100" s="590">
        <f>'Planilla Análisis ( isapre)'!M95*'Planilla Análisis ( isapre)'!E95</f>
        <v>6594699.9999999953</v>
      </c>
      <c r="L100" s="78"/>
      <c r="M100" s="76"/>
      <c r="N100" s="77"/>
    </row>
    <row r="101" spans="1:14" x14ac:dyDescent="0.2">
      <c r="A101" s="89"/>
      <c r="B101" s="78"/>
      <c r="C101" s="311"/>
      <c r="D101" s="311"/>
      <c r="E101" s="311"/>
      <c r="F101" s="311"/>
      <c r="G101" s="78"/>
      <c r="I101" s="825" t="s">
        <v>515</v>
      </c>
      <c r="J101" s="825"/>
      <c r="K101" s="594">
        <f>K99-K100</f>
        <v>2200404.0916000018</v>
      </c>
      <c r="L101" s="78"/>
      <c r="M101" s="76"/>
      <c r="N101" s="77"/>
    </row>
    <row r="102" spans="1:14" x14ac:dyDescent="0.2">
      <c r="A102" s="89"/>
      <c r="B102" s="78" t="s">
        <v>193</v>
      </c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6"/>
      <c r="N102" s="77"/>
    </row>
    <row r="103" spans="1:14" x14ac:dyDescent="0.2">
      <c r="A103" s="89"/>
      <c r="B103" s="78"/>
      <c r="C103" s="78"/>
      <c r="D103" s="78"/>
      <c r="E103" s="78"/>
      <c r="F103" s="78"/>
      <c r="G103" s="78"/>
      <c r="H103" s="78"/>
      <c r="I103" s="311" t="s">
        <v>516</v>
      </c>
      <c r="J103" s="589" t="s">
        <v>511</v>
      </c>
      <c r="K103" s="589" t="s">
        <v>512</v>
      </c>
      <c r="L103" s="78"/>
      <c r="M103" s="76"/>
      <c r="N103" s="77"/>
    </row>
    <row r="104" spans="1:14" x14ac:dyDescent="0.2">
      <c r="A104" s="89"/>
      <c r="B104" s="101"/>
      <c r="C104" s="78" t="s">
        <v>194</v>
      </c>
      <c r="D104" s="76"/>
      <c r="E104" s="78" t="s">
        <v>195</v>
      </c>
      <c r="F104" s="313"/>
      <c r="G104" s="78"/>
      <c r="H104" s="78"/>
      <c r="I104" s="592" t="s">
        <v>513</v>
      </c>
      <c r="J104" s="590">
        <f>'Planilla Análisis ( isapre)'!E33</f>
        <v>1008397</v>
      </c>
      <c r="K104" s="590">
        <f>'Planilla Análisis ( isapre)'!I33</f>
        <v>268416</v>
      </c>
      <c r="L104" s="78"/>
      <c r="M104" s="76"/>
      <c r="N104" s="77"/>
    </row>
    <row r="105" spans="1:14" x14ac:dyDescent="0.2">
      <c r="A105" s="89"/>
      <c r="B105" s="76"/>
      <c r="C105" s="78" t="s">
        <v>159</v>
      </c>
      <c r="D105" s="78"/>
      <c r="E105" s="313" t="str">
        <f>E6</f>
        <v>: DAVILA</v>
      </c>
      <c r="F105" s="78"/>
      <c r="G105" s="78"/>
      <c r="H105" s="78"/>
      <c r="I105" s="592" t="s">
        <v>514</v>
      </c>
      <c r="J105" s="590">
        <f>'Planilla Análisis ( isapre)'!E33</f>
        <v>1008397</v>
      </c>
      <c r="K105" s="590">
        <f>'Planilla Análisis ( isapre)'!M33</f>
        <v>201679.39999999997</v>
      </c>
      <c r="L105" s="78"/>
      <c r="M105" s="76"/>
      <c r="N105" s="77"/>
    </row>
    <row r="106" spans="1:14" x14ac:dyDescent="0.2">
      <c r="A106" s="89"/>
      <c r="B106" s="76"/>
      <c r="C106" s="78" t="s">
        <v>196</v>
      </c>
      <c r="D106" s="78"/>
      <c r="E106" s="313" t="str">
        <f>E105</f>
        <v>: DAVILA</v>
      </c>
      <c r="F106" s="78"/>
      <c r="G106" s="78"/>
      <c r="H106" s="78"/>
      <c r="I106" s="825" t="s">
        <v>515</v>
      </c>
      <c r="J106" s="825"/>
      <c r="K106" s="594">
        <f>K104-K105</f>
        <v>66736.600000000035</v>
      </c>
      <c r="L106" s="78"/>
      <c r="M106" s="76"/>
      <c r="N106" s="77"/>
    </row>
    <row r="107" spans="1:14" x14ac:dyDescent="0.2">
      <c r="A107" s="89"/>
      <c r="B107" s="76"/>
      <c r="C107" s="78" t="s">
        <v>197</v>
      </c>
      <c r="D107" s="78"/>
      <c r="E107" s="313" t="str">
        <f>E106</f>
        <v>: DAVILA</v>
      </c>
      <c r="F107" s="78"/>
      <c r="G107" s="78"/>
      <c r="H107" s="78"/>
      <c r="I107" s="78"/>
      <c r="J107" s="78"/>
      <c r="K107" s="78"/>
      <c r="L107" s="78"/>
      <c r="M107" s="76"/>
      <c r="N107" s="77"/>
    </row>
    <row r="108" spans="1:14" x14ac:dyDescent="0.2">
      <c r="A108" s="89"/>
      <c r="B108" s="76"/>
      <c r="C108" s="78" t="s">
        <v>198</v>
      </c>
      <c r="D108" s="78"/>
      <c r="E108" s="313" t="str">
        <f>E105</f>
        <v>: DAVILA</v>
      </c>
      <c r="F108" s="78"/>
      <c r="G108" s="78"/>
      <c r="H108" s="78"/>
      <c r="I108" s="78"/>
      <c r="J108" s="78"/>
      <c r="K108" s="78"/>
      <c r="L108" s="78"/>
      <c r="M108" s="76"/>
      <c r="N108" s="77"/>
    </row>
    <row r="109" spans="1:14" x14ac:dyDescent="0.2">
      <c r="A109" s="89"/>
      <c r="B109" s="76"/>
      <c r="C109" s="78" t="s">
        <v>199</v>
      </c>
      <c r="D109" s="78"/>
      <c r="E109" s="313" t="s">
        <v>402</v>
      </c>
      <c r="F109" s="78"/>
      <c r="G109" s="78"/>
      <c r="H109" s="78"/>
      <c r="I109" s="78"/>
      <c r="J109" s="78"/>
      <c r="K109" s="78"/>
      <c r="L109" s="78"/>
      <c r="M109" s="76"/>
      <c r="N109" s="77"/>
    </row>
    <row r="110" spans="1:14" x14ac:dyDescent="0.2">
      <c r="A110" s="89"/>
      <c r="B110" s="76"/>
      <c r="C110" s="78" t="s">
        <v>79</v>
      </c>
      <c r="D110" s="76"/>
      <c r="E110" s="258" t="s">
        <v>402</v>
      </c>
      <c r="F110" s="76"/>
      <c r="G110" s="76"/>
      <c r="H110" s="76"/>
      <c r="I110" s="76"/>
      <c r="J110" s="76"/>
      <c r="K110" s="76"/>
      <c r="L110" s="76"/>
      <c r="M110" s="76"/>
      <c r="N110" s="77"/>
    </row>
    <row r="111" spans="1:14" x14ac:dyDescent="0.2">
      <c r="A111" s="89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7"/>
    </row>
    <row r="112" spans="1:14" x14ac:dyDescent="0.2">
      <c r="A112" s="89"/>
      <c r="B112" s="287" t="s">
        <v>205</v>
      </c>
      <c r="C112" s="288"/>
      <c r="D112" s="288"/>
      <c r="E112" s="288"/>
      <c r="F112" s="288"/>
      <c r="G112" s="288"/>
      <c r="H112" s="288"/>
      <c r="I112" s="288"/>
      <c r="J112" s="289"/>
      <c r="K112" s="291"/>
      <c r="L112" s="291"/>
      <c r="M112" s="76"/>
      <c r="N112" s="77"/>
    </row>
    <row r="113" spans="1:14" x14ac:dyDescent="0.2">
      <c r="A113" s="89"/>
      <c r="B113" s="290" t="s">
        <v>192</v>
      </c>
      <c r="C113" s="291"/>
      <c r="D113" s="291"/>
      <c r="E113" s="291"/>
      <c r="F113" s="291"/>
      <c r="G113" s="291"/>
      <c r="H113" s="291"/>
      <c r="I113" s="291"/>
      <c r="J113" s="292"/>
      <c r="K113" s="291"/>
      <c r="L113" s="291"/>
      <c r="M113" s="76"/>
      <c r="N113" s="77"/>
    </row>
    <row r="114" spans="1:14" x14ac:dyDescent="0.2">
      <c r="A114" s="89"/>
      <c r="B114" s="290" t="s">
        <v>206</v>
      </c>
      <c r="C114" s="291"/>
      <c r="D114" s="291"/>
      <c r="E114" s="291"/>
      <c r="F114" s="291"/>
      <c r="G114" s="291"/>
      <c r="H114" s="291"/>
      <c r="I114" s="291"/>
      <c r="J114" s="292"/>
      <c r="K114" s="291"/>
      <c r="L114" s="291"/>
      <c r="M114" s="76"/>
      <c r="N114" s="77"/>
    </row>
    <row r="115" spans="1:14" x14ac:dyDescent="0.2">
      <c r="A115" s="89"/>
      <c r="B115" s="293" t="s">
        <v>207</v>
      </c>
      <c r="C115" s="294"/>
      <c r="D115" s="294"/>
      <c r="E115" s="294"/>
      <c r="F115" s="294"/>
      <c r="G115" s="294"/>
      <c r="H115" s="294"/>
      <c r="I115" s="294"/>
      <c r="J115" s="295"/>
      <c r="K115" s="291"/>
      <c r="L115" s="291"/>
      <c r="M115" s="76"/>
      <c r="N115" s="77"/>
    </row>
    <row r="116" spans="1:14" x14ac:dyDescent="0.2">
      <c r="A116" s="89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7"/>
    </row>
    <row r="117" spans="1:14" ht="12.75" thickBot="1" x14ac:dyDescent="0.25">
      <c r="A117" s="79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1"/>
    </row>
    <row r="118" spans="1:14" x14ac:dyDescent="0.2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</row>
    <row r="119" spans="1:14" x14ac:dyDescent="0.2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</row>
  </sheetData>
  <mergeCells count="16">
    <mergeCell ref="C92:G92"/>
    <mergeCell ref="C94:F94"/>
    <mergeCell ref="J91:N92"/>
    <mergeCell ref="J93:N93"/>
    <mergeCell ref="J94:M94"/>
    <mergeCell ref="B2:J2"/>
    <mergeCell ref="E59:F59"/>
    <mergeCell ref="C77:F77"/>
    <mergeCell ref="J77:M77"/>
    <mergeCell ref="E3:G3"/>
    <mergeCell ref="C8:E8"/>
    <mergeCell ref="I101:J101"/>
    <mergeCell ref="I106:J106"/>
    <mergeCell ref="C98:F98"/>
    <mergeCell ref="C99:F99"/>
    <mergeCell ref="C100:F100"/>
  </mergeCells>
  <pageMargins left="0.21" right="0.55118110236220474" top="0.65" bottom="0.23622047244094491" header="0.28999999999999998" footer="0.19685039370078741"/>
  <pageSetup scale="80" fitToHeight="5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7"/>
  <sheetViews>
    <sheetView showGridLines="0" workbookViewId="0">
      <selection activeCell="C27" sqref="C27:D27"/>
    </sheetView>
  </sheetViews>
  <sheetFormatPr baseColWidth="10" defaultColWidth="11.42578125" defaultRowHeight="12" x14ac:dyDescent="0.2"/>
  <cols>
    <col min="1" max="1" width="11.42578125" style="72"/>
    <col min="2" max="2" width="17.28515625" style="72" bestFit="1" customWidth="1"/>
    <col min="3" max="3" width="14.5703125" style="72" customWidth="1"/>
    <col min="4" max="4" width="12.140625" style="72" customWidth="1"/>
    <col min="5" max="5" width="11.42578125" style="72"/>
    <col min="6" max="6" width="19.140625" style="72" customWidth="1"/>
    <col min="7" max="7" width="13.85546875" style="72" bestFit="1" customWidth="1"/>
    <col min="8" max="8" width="11.42578125" style="72"/>
    <col min="9" max="9" width="4.42578125" style="72" customWidth="1"/>
    <col min="10" max="16384" width="11.42578125" style="72"/>
  </cols>
  <sheetData>
    <row r="2" spans="1:12" ht="3.75" customHeight="1" x14ac:dyDescent="0.2">
      <c r="B2" s="643"/>
      <c r="C2" s="643"/>
      <c r="D2" s="643"/>
      <c r="E2" s="643"/>
      <c r="F2" s="643"/>
      <c r="G2" s="643"/>
      <c r="H2" s="643"/>
    </row>
    <row r="3" spans="1:12" ht="18.75" x14ac:dyDescent="0.2">
      <c r="C3" s="845" t="s">
        <v>549</v>
      </c>
      <c r="D3" s="845"/>
      <c r="E3" s="845"/>
      <c r="F3" s="845"/>
      <c r="G3" s="845"/>
      <c r="H3" s="637"/>
    </row>
    <row r="4" spans="1:12" ht="15.75" x14ac:dyDescent="0.2">
      <c r="C4" s="846" t="s">
        <v>586</v>
      </c>
      <c r="D4" s="846"/>
      <c r="E4" s="846"/>
      <c r="F4" s="846"/>
      <c r="G4" s="846"/>
      <c r="I4" s="634"/>
      <c r="J4" s="634"/>
      <c r="K4" s="634"/>
      <c r="L4" s="634"/>
    </row>
    <row r="5" spans="1:12" ht="12.75" customHeight="1" x14ac:dyDescent="0.2">
      <c r="F5" s="76"/>
      <c r="H5" s="634"/>
      <c r="I5" s="634"/>
      <c r="J5" s="634"/>
      <c r="K5" s="634"/>
      <c r="L5" s="634"/>
    </row>
    <row r="6" spans="1:12" ht="3" customHeight="1" x14ac:dyDescent="0.2">
      <c r="B6" s="643"/>
      <c r="C6" s="643"/>
      <c r="D6" s="643"/>
      <c r="E6" s="643"/>
      <c r="F6" s="644"/>
      <c r="G6" s="643"/>
      <c r="H6" s="645"/>
      <c r="I6" s="634"/>
      <c r="J6" s="634"/>
      <c r="K6" s="634"/>
      <c r="L6" s="634"/>
    </row>
    <row r="8" spans="1:12" ht="12.75" x14ac:dyDescent="0.2">
      <c r="B8" s="639" t="s">
        <v>547</v>
      </c>
      <c r="C8" s="640"/>
      <c r="D8" s="640"/>
      <c r="F8" s="639" t="s">
        <v>535</v>
      </c>
      <c r="G8" s="640"/>
      <c r="H8" s="640"/>
    </row>
    <row r="9" spans="1:12" ht="6" customHeight="1" x14ac:dyDescent="0.2">
      <c r="B9" s="640"/>
      <c r="C9" s="640"/>
      <c r="D9" s="640"/>
      <c r="F9" s="640"/>
      <c r="G9" s="640"/>
      <c r="H9" s="640"/>
    </row>
    <row r="10" spans="1:12" ht="12.75" x14ac:dyDescent="0.2">
      <c r="B10" s="638" t="s">
        <v>532</v>
      </c>
      <c r="C10" s="641" t="str">
        <f>Datos!K3</f>
        <v>Derco</v>
      </c>
      <c r="D10" s="640"/>
      <c r="F10" s="638" t="s">
        <v>536</v>
      </c>
      <c r="G10" s="848" t="str">
        <f>Datos!O3</f>
        <v>Privado</v>
      </c>
      <c r="H10" s="848"/>
    </row>
    <row r="11" spans="1:12" ht="12.75" x14ac:dyDescent="0.2">
      <c r="B11" s="638" t="s">
        <v>533</v>
      </c>
      <c r="C11" s="641" t="str">
        <f>Datos!K4</f>
        <v>Oscar Saenz Perez</v>
      </c>
      <c r="D11" s="640"/>
      <c r="F11" s="638" t="s">
        <v>57</v>
      </c>
      <c r="G11" s="848" t="str">
        <f>Datos!O4</f>
        <v>CRUZ BLANCA</v>
      </c>
      <c r="H11" s="848"/>
    </row>
    <row r="12" spans="1:12" ht="12.75" x14ac:dyDescent="0.2">
      <c r="B12" s="638" t="s">
        <v>534</v>
      </c>
      <c r="C12" s="641" t="str">
        <f>Datos!K5</f>
        <v>56 Años</v>
      </c>
      <c r="D12" s="640"/>
      <c r="F12" s="638" t="s">
        <v>537</v>
      </c>
      <c r="G12" s="848" t="str">
        <f>Datos!O5</f>
        <v>Todo Familia D</v>
      </c>
      <c r="H12" s="848"/>
    </row>
    <row r="13" spans="1:12" x14ac:dyDescent="0.2">
      <c r="B13" s="638" t="s">
        <v>548</v>
      </c>
      <c r="C13" s="640"/>
      <c r="D13" s="640"/>
      <c r="F13" s="638" t="s">
        <v>559</v>
      </c>
      <c r="G13" s="848">
        <f>Datos!O6</f>
        <v>20.966200000000001</v>
      </c>
      <c r="H13" s="848"/>
    </row>
    <row r="14" spans="1:12" ht="12" customHeight="1" x14ac:dyDescent="0.2">
      <c r="B14" s="649"/>
      <c r="C14" s="649"/>
      <c r="D14" s="649"/>
      <c r="F14" s="638" t="s">
        <v>558</v>
      </c>
      <c r="G14" s="849" t="str">
        <f>Datos!O7</f>
        <v>Libre elección</v>
      </c>
      <c r="H14" s="849"/>
    </row>
    <row r="15" spans="1:12" ht="12.75" x14ac:dyDescent="0.2">
      <c r="A15" s="650"/>
      <c r="B15" s="651" t="s">
        <v>551</v>
      </c>
      <c r="C15" s="652" t="s">
        <v>55</v>
      </c>
      <c r="D15" s="652" t="s">
        <v>56</v>
      </c>
      <c r="F15" s="638" t="s">
        <v>540</v>
      </c>
      <c r="G15" s="849" t="str">
        <f>Datos!O8</f>
        <v>Clínica Alemana</v>
      </c>
      <c r="H15" s="849"/>
    </row>
    <row r="16" spans="1:12" x14ac:dyDescent="0.2">
      <c r="A16" s="650"/>
      <c r="B16" s="653" t="s">
        <v>147</v>
      </c>
      <c r="C16" s="654" t="str">
        <f>Datos!K9</f>
        <v>M</v>
      </c>
      <c r="D16" s="654">
        <f>Datos!L9</f>
        <v>56</v>
      </c>
      <c r="F16" s="638" t="s">
        <v>557</v>
      </c>
      <c r="G16" s="849" t="str">
        <f>Datos!O9</f>
        <v>mayor 6 meses</v>
      </c>
      <c r="H16" s="849"/>
      <c r="J16" s="76"/>
    </row>
    <row r="17" spans="1:8" x14ac:dyDescent="0.2">
      <c r="B17" s="653" t="s">
        <v>441</v>
      </c>
      <c r="C17" s="654" t="str">
        <f>Datos!K10</f>
        <v>F</v>
      </c>
      <c r="D17" s="654">
        <f>Datos!L10</f>
        <v>51</v>
      </c>
      <c r="F17" s="638" t="s">
        <v>538</v>
      </c>
      <c r="G17" s="849" t="str">
        <f>Datos!O10</f>
        <v>Si</v>
      </c>
      <c r="H17" s="849"/>
    </row>
    <row r="18" spans="1:8" ht="12.75" thickBot="1" x14ac:dyDescent="0.25">
      <c r="B18" s="653" t="s">
        <v>148</v>
      </c>
      <c r="C18" s="654" t="str">
        <f>Datos!K11</f>
        <v>F</v>
      </c>
      <c r="D18" s="654">
        <f>Datos!L11</f>
        <v>25</v>
      </c>
      <c r="F18" s="638" t="s">
        <v>539</v>
      </c>
      <c r="G18" s="847" t="str">
        <f>Datos!O11</f>
        <v>Esofagitis</v>
      </c>
      <c r="H18" s="847"/>
    </row>
    <row r="19" spans="1:8" x14ac:dyDescent="0.2">
      <c r="B19" s="653" t="s">
        <v>444</v>
      </c>
      <c r="C19" s="654" t="str">
        <f>Datos!K12</f>
        <v>F</v>
      </c>
      <c r="D19" s="654">
        <f>Datos!L12</f>
        <v>20</v>
      </c>
      <c r="F19" s="780" t="s">
        <v>594</v>
      </c>
      <c r="G19" s="844" t="str">
        <f>Datos!O12</f>
        <v>Informe Medico Tratante</v>
      </c>
      <c r="H19" s="844"/>
    </row>
    <row r="20" spans="1:8" x14ac:dyDescent="0.2">
      <c r="B20" s="653" t="s">
        <v>404</v>
      </c>
      <c r="C20" s="654" t="str">
        <f>Datos!K13</f>
        <v>-</v>
      </c>
      <c r="D20" s="654" t="str">
        <f>Datos!L13</f>
        <v>-</v>
      </c>
      <c r="F20" s="781" t="s">
        <v>595</v>
      </c>
      <c r="G20" s="844"/>
      <c r="H20" s="844"/>
    </row>
    <row r="21" spans="1:8" ht="12.75" thickBot="1" x14ac:dyDescent="0.25">
      <c r="B21" s="655" t="s">
        <v>443</v>
      </c>
      <c r="C21" s="656" t="str">
        <f>Datos!K14</f>
        <v>-</v>
      </c>
      <c r="D21" s="656" t="str">
        <f>Datos!L14</f>
        <v>-</v>
      </c>
      <c r="F21" s="782" t="s">
        <v>596</v>
      </c>
      <c r="G21" s="844"/>
      <c r="H21" s="844"/>
    </row>
    <row r="23" spans="1:8" ht="12.75" x14ac:dyDescent="0.2">
      <c r="B23" s="639" t="s">
        <v>546</v>
      </c>
      <c r="C23" s="640"/>
      <c r="D23" s="640"/>
      <c r="E23" s="640"/>
      <c r="F23" s="642" t="s">
        <v>567</v>
      </c>
      <c r="G23" s="640"/>
      <c r="H23" s="640"/>
    </row>
    <row r="24" spans="1:8" ht="6" customHeight="1" x14ac:dyDescent="0.2">
      <c r="E24" s="640"/>
      <c r="F24" s="638"/>
    </row>
    <row r="25" spans="1:8" x14ac:dyDescent="0.2">
      <c r="B25" s="638" t="s">
        <v>57</v>
      </c>
      <c r="C25" s="840" t="s">
        <v>505</v>
      </c>
      <c r="D25" s="840"/>
      <c r="E25" s="640"/>
      <c r="F25" s="638" t="s">
        <v>541</v>
      </c>
      <c r="G25" s="841">
        <f>G13</f>
        <v>20.966200000000001</v>
      </c>
      <c r="H25" s="841"/>
    </row>
    <row r="26" spans="1:8" x14ac:dyDescent="0.2">
      <c r="B26" s="638" t="s">
        <v>537</v>
      </c>
      <c r="C26" s="840" t="s">
        <v>571</v>
      </c>
      <c r="D26" s="840"/>
      <c r="E26" s="640"/>
      <c r="F26" s="638" t="s">
        <v>542</v>
      </c>
      <c r="G26" s="841">
        <f>C27</f>
        <v>6.07</v>
      </c>
      <c r="H26" s="841"/>
    </row>
    <row r="27" spans="1:8" x14ac:dyDescent="0.2">
      <c r="B27" s="638" t="s">
        <v>559</v>
      </c>
      <c r="C27" s="840">
        <v>6.07</v>
      </c>
      <c r="D27" s="840"/>
      <c r="E27" s="640"/>
      <c r="F27" s="638" t="s">
        <v>543</v>
      </c>
      <c r="G27" s="840">
        <f>-(G26-G25)</f>
        <v>14.8962</v>
      </c>
      <c r="H27" s="840"/>
    </row>
    <row r="28" spans="1:8" ht="12.75" customHeight="1" x14ac:dyDescent="0.2">
      <c r="F28" s="638" t="s">
        <v>544</v>
      </c>
      <c r="G28" s="842">
        <f>G27*26000</f>
        <v>387301.2</v>
      </c>
      <c r="H28" s="842"/>
    </row>
    <row r="30" spans="1:8" ht="12.75" x14ac:dyDescent="0.2">
      <c r="B30" s="635" t="s">
        <v>550</v>
      </c>
    </row>
    <row r="31" spans="1:8" x14ac:dyDescent="0.2">
      <c r="B31" s="76"/>
      <c r="C31" s="76"/>
      <c r="D31" s="76"/>
    </row>
    <row r="32" spans="1:8" ht="12.75" x14ac:dyDescent="0.2">
      <c r="A32" s="76"/>
      <c r="B32" s="646" t="s">
        <v>545</v>
      </c>
      <c r="C32" s="646" t="s">
        <v>160</v>
      </c>
      <c r="D32" s="646" t="s">
        <v>554</v>
      </c>
    </row>
    <row r="33" spans="2:11" x14ac:dyDescent="0.2">
      <c r="B33" s="647" t="s">
        <v>553</v>
      </c>
      <c r="C33" s="648">
        <v>0.5</v>
      </c>
      <c r="D33" s="648">
        <v>0.9</v>
      </c>
    </row>
    <row r="34" spans="2:11" x14ac:dyDescent="0.2">
      <c r="B34" s="647" t="s">
        <v>552</v>
      </c>
      <c r="C34" s="648">
        <v>0.5</v>
      </c>
      <c r="D34" s="648">
        <v>0.9</v>
      </c>
    </row>
    <row r="35" spans="2:11" x14ac:dyDescent="0.2">
      <c r="B35" s="647" t="s">
        <v>555</v>
      </c>
      <c r="C35" s="648">
        <v>0.6</v>
      </c>
      <c r="D35" s="648">
        <v>0.7</v>
      </c>
    </row>
    <row r="36" spans="2:11" x14ac:dyDescent="0.2">
      <c r="B36" s="647" t="s">
        <v>300</v>
      </c>
      <c r="C36" s="648">
        <v>0.3</v>
      </c>
      <c r="D36" s="648">
        <v>0.9</v>
      </c>
    </row>
    <row r="42" spans="2:11" x14ac:dyDescent="0.2">
      <c r="C42" s="636"/>
      <c r="D42" s="636"/>
      <c r="E42" s="636"/>
      <c r="F42" s="636"/>
      <c r="I42" s="636"/>
      <c r="J42" s="636"/>
      <c r="K42" s="636"/>
    </row>
    <row r="43" spans="2:11" ht="12.75" x14ac:dyDescent="0.2">
      <c r="B43" s="838" t="s">
        <v>556</v>
      </c>
      <c r="C43" s="839"/>
      <c r="D43" s="657">
        <f>'Planilla Análisis ( isapre)'!$F$185</f>
        <v>0.62469993387759304</v>
      </c>
      <c r="F43" s="838" t="s">
        <v>568</v>
      </c>
      <c r="G43" s="839"/>
      <c r="H43" s="657">
        <f>'Planilla Análisis ( isapre)'!H185</f>
        <v>0.66359580110827598</v>
      </c>
    </row>
    <row r="46" spans="2:11" ht="12.75" x14ac:dyDescent="0.2">
      <c r="B46" s="635" t="s">
        <v>560</v>
      </c>
    </row>
    <row r="48" spans="2:11" x14ac:dyDescent="0.2">
      <c r="B48" s="640" t="s">
        <v>583</v>
      </c>
      <c r="C48" s="640"/>
      <c r="D48" s="640"/>
      <c r="E48" s="640"/>
      <c r="F48" s="640"/>
      <c r="G48" s="640"/>
      <c r="H48" s="640"/>
      <c r="I48" s="640"/>
    </row>
    <row r="49" spans="2:10" x14ac:dyDescent="0.2">
      <c r="B49" s="640" t="s">
        <v>572</v>
      </c>
      <c r="C49" s="640"/>
      <c r="D49" s="640"/>
      <c r="E49" s="640"/>
      <c r="F49" s="640"/>
      <c r="G49" s="640"/>
      <c r="H49" s="640"/>
      <c r="I49" s="640"/>
    </row>
    <row r="50" spans="2:10" x14ac:dyDescent="0.2">
      <c r="B50" s="640" t="s">
        <v>573</v>
      </c>
      <c r="C50" s="640"/>
      <c r="D50" s="640"/>
      <c r="E50" s="640"/>
      <c r="F50" s="640"/>
      <c r="G50" s="640"/>
      <c r="H50" s="640"/>
      <c r="I50" s="640"/>
    </row>
    <row r="51" spans="2:10" x14ac:dyDescent="0.2">
      <c r="B51" s="640" t="s">
        <v>574</v>
      </c>
      <c r="C51" s="640"/>
      <c r="D51" s="640"/>
      <c r="E51" s="640"/>
      <c r="F51" s="640"/>
      <c r="G51" s="640"/>
      <c r="H51" s="640"/>
      <c r="I51" s="640"/>
    </row>
    <row r="52" spans="2:10" x14ac:dyDescent="0.2">
      <c r="B52" s="640" t="s">
        <v>575</v>
      </c>
      <c r="C52" s="640"/>
      <c r="D52" s="640"/>
      <c r="E52" s="640"/>
      <c r="F52" s="640"/>
      <c r="G52" s="640"/>
      <c r="H52" s="640"/>
      <c r="I52" s="640"/>
    </row>
    <row r="53" spans="2:10" x14ac:dyDescent="0.2">
      <c r="B53" s="640" t="s">
        <v>576</v>
      </c>
      <c r="C53" s="640"/>
      <c r="D53" s="640"/>
      <c r="E53" s="640"/>
      <c r="F53" s="640"/>
      <c r="G53" s="640"/>
      <c r="H53" s="640"/>
      <c r="I53" s="640"/>
    </row>
    <row r="54" spans="2:10" x14ac:dyDescent="0.2">
      <c r="B54" s="640" t="s">
        <v>577</v>
      </c>
      <c r="C54" s="640"/>
      <c r="D54" s="640"/>
      <c r="E54" s="640"/>
      <c r="F54" s="640"/>
      <c r="G54" s="640"/>
      <c r="H54" s="640"/>
      <c r="I54" s="640"/>
    </row>
    <row r="55" spans="2:10" x14ac:dyDescent="0.2">
      <c r="B55" s="640" t="s">
        <v>578</v>
      </c>
      <c r="C55" s="640"/>
      <c r="D55" s="640"/>
      <c r="E55" s="640"/>
      <c r="F55" s="640"/>
      <c r="G55" s="640"/>
      <c r="H55" s="640"/>
      <c r="I55" s="640"/>
    </row>
    <row r="56" spans="2:10" x14ac:dyDescent="0.2">
      <c r="B56" s="640" t="s">
        <v>579</v>
      </c>
      <c r="C56" s="640"/>
      <c r="D56" s="640"/>
      <c r="E56" s="640"/>
      <c r="F56" s="640"/>
      <c r="G56" s="640"/>
      <c r="H56" s="640"/>
      <c r="I56" s="640"/>
    </row>
    <row r="57" spans="2:10" x14ac:dyDescent="0.2">
      <c r="B57" s="640" t="s">
        <v>580</v>
      </c>
      <c r="C57" s="640"/>
      <c r="D57" s="640"/>
      <c r="E57" s="640"/>
      <c r="F57" s="640"/>
      <c r="G57" s="640"/>
      <c r="H57" s="640"/>
      <c r="I57" s="640"/>
    </row>
    <row r="58" spans="2:10" ht="12.75" customHeight="1" x14ac:dyDescent="0.2">
      <c r="B58" s="640" t="s">
        <v>561</v>
      </c>
      <c r="C58" s="640"/>
      <c r="D58" s="640"/>
      <c r="E58" s="640"/>
      <c r="F58" s="640"/>
      <c r="G58" s="640"/>
      <c r="H58" s="640"/>
      <c r="I58" s="640"/>
    </row>
    <row r="60" spans="2:10" x14ac:dyDescent="0.2">
      <c r="B60" s="640" t="s">
        <v>584</v>
      </c>
      <c r="C60" s="640"/>
      <c r="D60" s="640"/>
      <c r="E60" s="640"/>
      <c r="F60" s="640"/>
      <c r="G60" s="640"/>
      <c r="H60" s="640"/>
      <c r="I60" s="640"/>
      <c r="J60" s="640"/>
    </row>
    <row r="61" spans="2:10" x14ac:dyDescent="0.2">
      <c r="B61" s="640" t="s">
        <v>569</v>
      </c>
      <c r="C61" s="640"/>
      <c r="D61" s="640"/>
      <c r="E61" s="640"/>
      <c r="F61" s="640"/>
      <c r="G61" s="640"/>
      <c r="H61" s="640"/>
      <c r="I61" s="640"/>
      <c r="J61" s="640"/>
    </row>
    <row r="62" spans="2:10" x14ac:dyDescent="0.2">
      <c r="B62" s="640"/>
      <c r="C62" s="640"/>
      <c r="D62" s="640"/>
      <c r="E62" s="640"/>
      <c r="F62" s="640"/>
      <c r="G62" s="640"/>
      <c r="H62" s="640"/>
      <c r="I62" s="640"/>
      <c r="J62" s="640"/>
    </row>
    <row r="63" spans="2:10" x14ac:dyDescent="0.2">
      <c r="B63" s="640" t="s">
        <v>585</v>
      </c>
      <c r="C63" s="640"/>
      <c r="D63" s="640"/>
      <c r="E63" s="640"/>
      <c r="F63" s="640"/>
      <c r="G63" s="640"/>
      <c r="H63" s="640"/>
      <c r="I63" s="640"/>
      <c r="J63" s="640"/>
    </row>
    <row r="64" spans="2:10" x14ac:dyDescent="0.2">
      <c r="B64" s="779" t="s">
        <v>581</v>
      </c>
      <c r="C64" s="640"/>
      <c r="D64" s="640"/>
      <c r="E64" s="640"/>
      <c r="F64" s="640"/>
      <c r="G64" s="640"/>
      <c r="H64" s="640"/>
      <c r="I64" s="640"/>
      <c r="J64" s="640"/>
    </row>
    <row r="87" spans="1:10" ht="12.75" customHeight="1" x14ac:dyDescent="0.2">
      <c r="A87" s="843" t="s">
        <v>582</v>
      </c>
      <c r="B87" s="843"/>
      <c r="C87" s="843"/>
      <c r="D87" s="843"/>
      <c r="E87" s="843"/>
      <c r="F87" s="843"/>
      <c r="G87" s="843"/>
      <c r="H87" s="843"/>
      <c r="I87" s="843"/>
      <c r="J87" s="843"/>
    </row>
  </sheetData>
  <mergeCells count="24">
    <mergeCell ref="A87:J87"/>
    <mergeCell ref="G21:H21"/>
    <mergeCell ref="C25:D25"/>
    <mergeCell ref="C3:G3"/>
    <mergeCell ref="C4:G4"/>
    <mergeCell ref="G18:H18"/>
    <mergeCell ref="G19:H19"/>
    <mergeCell ref="G20:H20"/>
    <mergeCell ref="G10:H10"/>
    <mergeCell ref="G11:H11"/>
    <mergeCell ref="G12:H12"/>
    <mergeCell ref="G13:H13"/>
    <mergeCell ref="G14:H14"/>
    <mergeCell ref="G15:H15"/>
    <mergeCell ref="G16:H16"/>
    <mergeCell ref="G17:H17"/>
    <mergeCell ref="B43:C43"/>
    <mergeCell ref="F43:G43"/>
    <mergeCell ref="C26:D26"/>
    <mergeCell ref="C27:D27"/>
    <mergeCell ref="G25:H25"/>
    <mergeCell ref="G26:H26"/>
    <mergeCell ref="G27:H27"/>
    <mergeCell ref="G28:H28"/>
  </mergeCells>
  <pageMargins left="0.70866141732283472" right="0.56999999999999995" top="0.52" bottom="0.38" header="0.59" footer="0.31496062992125984"/>
  <pageSetup paperSize="9" orientation="landscape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0"/>
  <sheetViews>
    <sheetView topLeftCell="C1" workbookViewId="0">
      <selection activeCell="R15" sqref="R15"/>
    </sheetView>
  </sheetViews>
  <sheetFormatPr baseColWidth="10" defaultColWidth="11.42578125" defaultRowHeight="11.25" x14ac:dyDescent="0.2"/>
  <cols>
    <col min="1" max="2" width="0.42578125" style="627" hidden="1" customWidth="1"/>
    <col min="3" max="3" width="11.42578125" style="604" customWidth="1"/>
    <col min="4" max="4" width="12.42578125" style="604" bestFit="1" customWidth="1"/>
    <col min="5" max="5" width="8" style="604" bestFit="1" customWidth="1"/>
    <col min="6" max="6" width="13.7109375" style="604" bestFit="1" customWidth="1"/>
    <col min="7" max="7" width="11.42578125" style="604"/>
    <col min="8" max="8" width="8.42578125" style="604" bestFit="1" customWidth="1"/>
    <col min="9" max="9" width="8.7109375" style="604" bestFit="1" customWidth="1"/>
    <col min="10" max="10" width="9.42578125" style="604" bestFit="1" customWidth="1"/>
    <col min="11" max="11" width="11.42578125" style="604"/>
    <col min="12" max="12" width="8.42578125" style="604" bestFit="1" customWidth="1"/>
    <col min="13" max="13" width="6.5703125" style="604" bestFit="1" customWidth="1"/>
    <col min="14" max="14" width="4.85546875" style="604" bestFit="1" customWidth="1"/>
    <col min="15" max="15" width="11.42578125" style="604"/>
    <col min="16" max="16" width="8.42578125" style="604" bestFit="1" customWidth="1"/>
    <col min="17" max="16384" width="11.42578125" style="604"/>
  </cols>
  <sheetData>
    <row r="2" spans="1:16" ht="15" x14ac:dyDescent="0.25">
      <c r="B2" s="858" t="s">
        <v>494</v>
      </c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  <c r="P2" s="858"/>
    </row>
    <row r="3" spans="1:16" x14ac:dyDescent="0.2">
      <c r="B3" s="628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ht="12" thickBot="1" x14ac:dyDescent="0.25">
      <c r="D4" s="859" t="s">
        <v>58</v>
      </c>
      <c r="E4" s="859"/>
      <c r="F4" s="859"/>
      <c r="G4" s="859"/>
      <c r="H4" s="859"/>
      <c r="I4" s="859" t="s">
        <v>455</v>
      </c>
      <c r="J4" s="859"/>
      <c r="K4" s="859"/>
      <c r="L4" s="859"/>
      <c r="M4" s="859" t="s">
        <v>456</v>
      </c>
      <c r="N4" s="859"/>
      <c r="O4" s="859"/>
      <c r="P4" s="859"/>
    </row>
    <row r="5" spans="1:16" ht="12" thickBot="1" x14ac:dyDescent="0.25">
      <c r="C5" s="622" t="s">
        <v>398</v>
      </c>
      <c r="D5" s="605" t="s">
        <v>454</v>
      </c>
      <c r="E5" s="606" t="s">
        <v>450</v>
      </c>
      <c r="F5" s="607" t="s">
        <v>451</v>
      </c>
      <c r="G5" s="607" t="s">
        <v>452</v>
      </c>
      <c r="H5" s="608" t="s">
        <v>453</v>
      </c>
      <c r="I5" s="609" t="s">
        <v>450</v>
      </c>
      <c r="J5" s="610" t="s">
        <v>451</v>
      </c>
      <c r="K5" s="610" t="s">
        <v>452</v>
      </c>
      <c r="L5" s="611" t="s">
        <v>453</v>
      </c>
      <c r="M5" s="606" t="s">
        <v>450</v>
      </c>
      <c r="N5" s="607" t="s">
        <v>68</v>
      </c>
      <c r="O5" s="607" t="s">
        <v>452</v>
      </c>
      <c r="P5" s="608" t="s">
        <v>453</v>
      </c>
    </row>
    <row r="6" spans="1:16" x14ac:dyDescent="0.2">
      <c r="C6" s="622" t="s">
        <v>290</v>
      </c>
      <c r="D6" s="612">
        <v>702003</v>
      </c>
      <c r="E6" s="613">
        <v>0.21152225845188696</v>
      </c>
      <c r="F6" s="614">
        <v>5.7933463384183224</v>
      </c>
      <c r="G6" s="615">
        <v>148489.26</v>
      </c>
      <c r="H6" s="613">
        <v>0.78847774154811301</v>
      </c>
      <c r="I6" s="616">
        <v>0.5</v>
      </c>
      <c r="J6" s="617">
        <v>13.694413015489056</v>
      </c>
      <c r="K6" s="612">
        <v>351001.5</v>
      </c>
      <c r="L6" s="616">
        <v>0.5</v>
      </c>
      <c r="M6" s="618">
        <v>0.5</v>
      </c>
      <c r="N6" s="614">
        <v>13.694413015489056</v>
      </c>
      <c r="O6" s="615">
        <v>351001.5</v>
      </c>
      <c r="P6" s="618">
        <v>0.5</v>
      </c>
    </row>
    <row r="7" spans="1:16" x14ac:dyDescent="0.2">
      <c r="C7" s="622" t="s">
        <v>159</v>
      </c>
      <c r="D7" s="615">
        <v>21904655.931200001</v>
      </c>
      <c r="E7" s="613">
        <v>0.3808399055649988</v>
      </c>
      <c r="F7" s="614">
        <v>325.47177621910964</v>
      </c>
      <c r="G7" s="615">
        <v>8342167.0962719992</v>
      </c>
      <c r="H7" s="613">
        <v>0.6191600944350012</v>
      </c>
      <c r="I7" s="618">
        <v>0.5</v>
      </c>
      <c r="J7" s="614">
        <v>427.30786803480163</v>
      </c>
      <c r="K7" s="615">
        <v>10952327.965600001</v>
      </c>
      <c r="L7" s="618">
        <v>0.5</v>
      </c>
      <c r="M7" s="618">
        <v>0.5</v>
      </c>
      <c r="N7" s="614">
        <v>427.30786803480163</v>
      </c>
      <c r="O7" s="615">
        <v>10952327.965600001</v>
      </c>
      <c r="P7" s="618">
        <v>0.5</v>
      </c>
    </row>
    <row r="8" spans="1:16" x14ac:dyDescent="0.2">
      <c r="C8" s="622" t="s">
        <v>310</v>
      </c>
      <c r="D8" s="615">
        <v>22606658.931200001</v>
      </c>
      <c r="E8" s="613">
        <v>0.37558209650139135</v>
      </c>
      <c r="F8" s="614">
        <v>331.26512255752795</v>
      </c>
      <c r="G8" s="615">
        <v>8490656.356271999</v>
      </c>
      <c r="H8" s="613">
        <v>0.6244179034986086</v>
      </c>
      <c r="I8" s="618">
        <v>0.5</v>
      </c>
      <c r="J8" s="614">
        <v>441.00228105029072</v>
      </c>
      <c r="K8" s="615">
        <v>11303329.465600001</v>
      </c>
      <c r="L8" s="618">
        <v>0.5</v>
      </c>
      <c r="M8" s="618">
        <v>0.5</v>
      </c>
      <c r="N8" s="614">
        <v>441.00228105029072</v>
      </c>
      <c r="O8" s="615">
        <v>11303329.465600001</v>
      </c>
      <c r="P8" s="618">
        <v>0.5</v>
      </c>
    </row>
    <row r="12" spans="1:16" ht="12" thickBot="1" x14ac:dyDescent="0.25">
      <c r="G12" s="853"/>
      <c r="H12" s="853"/>
      <c r="I12" s="853"/>
      <c r="J12" s="853"/>
      <c r="K12" s="853"/>
    </row>
    <row r="13" spans="1:16" ht="13.5" customHeight="1" thickBot="1" x14ac:dyDescent="0.3">
      <c r="G13" s="854" t="s">
        <v>233</v>
      </c>
      <c r="H13" s="855"/>
      <c r="I13" s="855"/>
      <c r="J13" s="855"/>
      <c r="K13" s="856"/>
    </row>
    <row r="14" spans="1:16" ht="12" thickBot="1" x14ac:dyDescent="0.25">
      <c r="A14" s="626" t="s">
        <v>454</v>
      </c>
      <c r="B14" s="632" t="s">
        <v>452</v>
      </c>
      <c r="C14" s="623"/>
      <c r="H14" s="620" t="s">
        <v>475</v>
      </c>
      <c r="I14" s="620"/>
      <c r="J14" s="620" t="s">
        <v>476</v>
      </c>
      <c r="K14" s="620"/>
    </row>
    <row r="15" spans="1:16" x14ac:dyDescent="0.2">
      <c r="A15" s="629">
        <f>G17+G18</f>
        <v>616071</v>
      </c>
      <c r="B15" s="629">
        <f>H17+H18</f>
        <v>392042.80000000005</v>
      </c>
      <c r="C15" s="575"/>
      <c r="F15" s="20" t="s">
        <v>525</v>
      </c>
      <c r="G15" s="619" t="s">
        <v>454</v>
      </c>
      <c r="H15" s="607" t="s">
        <v>452</v>
      </c>
      <c r="I15" s="608" t="s">
        <v>524</v>
      </c>
      <c r="J15" s="607" t="s">
        <v>452</v>
      </c>
      <c r="K15" s="608" t="s">
        <v>524</v>
      </c>
    </row>
    <row r="16" spans="1:16" x14ac:dyDescent="0.2">
      <c r="A16" s="629"/>
      <c r="B16" s="629"/>
      <c r="C16" s="575"/>
      <c r="F16" s="621" t="s">
        <v>522</v>
      </c>
      <c r="G16" s="615">
        <f>'Planilla Análisis ( isapre)'!E14</f>
        <v>392326</v>
      </c>
      <c r="H16" s="615">
        <f>'Planilla Análisis ( isapre)'!H14</f>
        <v>347938.2</v>
      </c>
      <c r="I16" s="615">
        <f>'Planilla Análisis ( isapre)'!I14</f>
        <v>44387.799999999988</v>
      </c>
      <c r="J16" s="615">
        <f>'Planilla Análisis ( isapre)'!L14</f>
        <v>313860.80000000005</v>
      </c>
      <c r="K16" s="615">
        <f>'Planilla Análisis ( isapre)'!M14</f>
        <v>78465.199999999983</v>
      </c>
    </row>
    <row r="17" spans="1:16" x14ac:dyDescent="0.2">
      <c r="A17" s="629"/>
      <c r="B17" s="629"/>
      <c r="C17" s="575"/>
      <c r="F17" s="621" t="s">
        <v>197</v>
      </c>
      <c r="G17" s="615">
        <f>'Planilla Análisis ( isapre)'!E23</f>
        <v>267447</v>
      </c>
      <c r="H17" s="615">
        <f>'Planilla Análisis ( isapre)'!H23</f>
        <v>195697.2</v>
      </c>
      <c r="I17" s="615">
        <f>'Planilla Análisis ( isapre)'!I23</f>
        <v>71749.799999999988</v>
      </c>
      <c r="J17" s="615">
        <f>'Planilla Análisis ( isapre)'!L23</f>
        <v>213957.60000000003</v>
      </c>
      <c r="K17" s="615">
        <f>'Planilla Análisis ( isapre)'!M23</f>
        <v>53489.399999999987</v>
      </c>
    </row>
    <row r="18" spans="1:16" x14ac:dyDescent="0.2">
      <c r="F18" s="621" t="s">
        <v>523</v>
      </c>
      <c r="G18" s="615">
        <f>'Planilla Análisis ( isapre)'!E30</f>
        <v>348624</v>
      </c>
      <c r="H18" s="615">
        <f>'Planilla Análisis ( isapre)'!H30</f>
        <v>196345.60000000001</v>
      </c>
      <c r="I18" s="615">
        <f>'Planilla Análisis ( isapre)'!I30</f>
        <v>152278.39999999999</v>
      </c>
      <c r="J18" s="615">
        <f>'Planilla Análisis ( isapre)'!L30</f>
        <v>278899.20000000001</v>
      </c>
      <c r="K18" s="615">
        <f>'Planilla Análisis ( isapre)'!M30</f>
        <v>69724.800000000003</v>
      </c>
    </row>
    <row r="20" spans="1:16" x14ac:dyDescent="0.2">
      <c r="A20" s="626" t="s">
        <v>454</v>
      </c>
      <c r="B20" s="632" t="s">
        <v>452</v>
      </c>
      <c r="C20" s="623"/>
    </row>
    <row r="21" spans="1:16" ht="12" thickBot="1" x14ac:dyDescent="0.25">
      <c r="A21" s="633">
        <f>G16</f>
        <v>392326</v>
      </c>
      <c r="B21" s="633">
        <v>133804</v>
      </c>
      <c r="C21" s="575"/>
    </row>
    <row r="22" spans="1:16" ht="12.75" customHeight="1" thickBot="1" x14ac:dyDescent="0.3">
      <c r="D22" s="850" t="s">
        <v>475</v>
      </c>
      <c r="E22" s="851"/>
      <c r="F22" s="851"/>
      <c r="G22" s="851"/>
      <c r="H22" s="851"/>
      <c r="I22" s="851"/>
      <c r="J22" s="851"/>
      <c r="K22" s="851"/>
      <c r="L22" s="851"/>
      <c r="M22" s="851"/>
      <c r="N22" s="851"/>
      <c r="O22" s="851"/>
      <c r="P22" s="852"/>
    </row>
    <row r="24" spans="1:16" x14ac:dyDescent="0.2">
      <c r="A24" s="626" t="s">
        <v>454</v>
      </c>
      <c r="B24" s="632" t="s">
        <v>452</v>
      </c>
      <c r="C24" s="623"/>
    </row>
    <row r="25" spans="1:16" x14ac:dyDescent="0.2">
      <c r="A25" s="629">
        <f>G17+G18</f>
        <v>616071</v>
      </c>
      <c r="B25" s="629">
        <f>J17+J18</f>
        <v>492856.80000000005</v>
      </c>
      <c r="C25" s="575"/>
    </row>
    <row r="26" spans="1:16" x14ac:dyDescent="0.2">
      <c r="A26" s="629"/>
      <c r="B26" s="629"/>
      <c r="C26" s="575"/>
    </row>
    <row r="35" spans="2:16" x14ac:dyDescent="0.2">
      <c r="B35" s="630"/>
      <c r="C35" s="621"/>
    </row>
    <row r="36" spans="2:16" x14ac:dyDescent="0.2">
      <c r="B36" s="630"/>
      <c r="C36" s="621"/>
    </row>
    <row r="37" spans="2:16" x14ac:dyDescent="0.2">
      <c r="B37" s="630"/>
      <c r="C37" s="621"/>
    </row>
    <row r="38" spans="2:16" ht="12" thickBot="1" x14ac:dyDescent="0.25">
      <c r="B38" s="630"/>
      <c r="C38" s="621"/>
    </row>
    <row r="39" spans="2:16" ht="12.75" customHeight="1" thickBot="1" x14ac:dyDescent="0.3">
      <c r="D39" s="850" t="s">
        <v>476</v>
      </c>
      <c r="E39" s="851"/>
      <c r="F39" s="851"/>
      <c r="G39" s="851"/>
      <c r="H39" s="851"/>
      <c r="I39" s="851"/>
      <c r="J39" s="851"/>
      <c r="K39" s="851"/>
      <c r="L39" s="851"/>
      <c r="M39" s="851"/>
      <c r="N39" s="851"/>
      <c r="O39" s="851"/>
      <c r="P39" s="852"/>
    </row>
    <row r="57" spans="6:11" ht="12" thickBot="1" x14ac:dyDescent="0.25"/>
    <row r="58" spans="6:11" ht="15.75" thickBot="1" x14ac:dyDescent="0.3">
      <c r="G58" s="854" t="s">
        <v>526</v>
      </c>
      <c r="H58" s="855"/>
      <c r="I58" s="855"/>
      <c r="J58" s="855"/>
      <c r="K58" s="856"/>
    </row>
    <row r="59" spans="6:11" ht="13.5" customHeight="1" thickBot="1" x14ac:dyDescent="0.25">
      <c r="H59" s="857" t="s">
        <v>475</v>
      </c>
      <c r="I59" s="857"/>
      <c r="J59" s="857" t="s">
        <v>476</v>
      </c>
      <c r="K59" s="857"/>
    </row>
    <row r="60" spans="6:11" x14ac:dyDescent="0.2">
      <c r="F60" s="20" t="s">
        <v>525</v>
      </c>
      <c r="G60" s="619" t="s">
        <v>454</v>
      </c>
      <c r="H60" s="607" t="s">
        <v>452</v>
      </c>
      <c r="I60" s="608" t="s">
        <v>524</v>
      </c>
      <c r="J60" s="607" t="s">
        <v>452</v>
      </c>
      <c r="K60" s="608" t="s">
        <v>524</v>
      </c>
    </row>
    <row r="61" spans="6:11" x14ac:dyDescent="0.2">
      <c r="F61" s="625" t="s">
        <v>527</v>
      </c>
      <c r="G61" s="615">
        <f>'Planilla Análisis ( isapre)'!E67</f>
        <v>28341233.739999998</v>
      </c>
      <c r="H61" s="615">
        <f>'Planilla Análisis ( isapre)'!H67</f>
        <v>19709178.650000002</v>
      </c>
      <c r="I61" s="615">
        <f>'Planilla Análisis ( isapre)'!I67</f>
        <v>8632055.0899999999</v>
      </c>
      <c r="J61" s="615">
        <f>G61-K61</f>
        <v>21746533.739999998</v>
      </c>
      <c r="K61" s="615">
        <f>'Planilla Análisis ( isapre)'!M67</f>
        <v>6594700</v>
      </c>
    </row>
    <row r="62" spans="6:11" x14ac:dyDescent="0.2">
      <c r="F62" s="625" t="s">
        <v>528</v>
      </c>
      <c r="G62" s="615">
        <f>'Planilla Análisis ( isapre)'!E89</f>
        <v>2244045.9579999996</v>
      </c>
      <c r="H62" s="615">
        <f>'Planilla Análisis ( isapre)'!H89</f>
        <v>2080996.9563999998</v>
      </c>
      <c r="I62" s="615">
        <f>'Planilla Análisis ( isapre)'!I89</f>
        <v>163049.00159999996</v>
      </c>
      <c r="J62" s="615">
        <f>G62-K62</f>
        <v>2244045.9579999996</v>
      </c>
      <c r="K62" s="615">
        <f>'Planilla Análisis ( isapre)'!M89</f>
        <v>0</v>
      </c>
    </row>
    <row r="63" spans="6:11" x14ac:dyDescent="0.2">
      <c r="F63" s="625" t="s">
        <v>109</v>
      </c>
      <c r="G63" s="615">
        <f>'Planilla Análisis ( isapre)'!E121</f>
        <v>2393000</v>
      </c>
      <c r="H63" s="615">
        <f>'Planilla Análisis ( isapre)'!H121</f>
        <v>598250</v>
      </c>
      <c r="I63" s="615">
        <f>'Planilla Análisis ( isapre)'!I121</f>
        <v>1794750</v>
      </c>
      <c r="J63" s="615">
        <f>'Planilla Análisis ( isapre)'!L121</f>
        <v>646110.00000000012</v>
      </c>
      <c r="K63" s="615">
        <f>'Planilla Análisis ( isapre)'!M121</f>
        <v>1746890</v>
      </c>
    </row>
    <row r="64" spans="6:11" x14ac:dyDescent="0.2">
      <c r="F64" s="625" t="s">
        <v>156</v>
      </c>
      <c r="G64" s="615">
        <f>'Planilla Análisis ( isapre)'!E131</f>
        <v>3116000</v>
      </c>
      <c r="H64" s="624">
        <f>'Planilla Análisis ( isapre)'!H131</f>
        <v>779000</v>
      </c>
      <c r="I64" s="615">
        <f>'Planilla Análisis ( isapre)'!I131</f>
        <v>2337000</v>
      </c>
      <c r="J64" s="615">
        <f>'Planilla Análisis ( isapre)'!L131</f>
        <v>841320.00000000012</v>
      </c>
      <c r="K64" s="615">
        <f>'Planilla Análisis ( isapre)'!M131</f>
        <v>2274680</v>
      </c>
    </row>
    <row r="65" spans="1:16" ht="12" thickBot="1" x14ac:dyDescent="0.25"/>
    <row r="66" spans="1:16" ht="12.75" customHeight="1" thickBot="1" x14ac:dyDescent="0.3">
      <c r="D66" s="850" t="s">
        <v>475</v>
      </c>
      <c r="E66" s="851"/>
      <c r="F66" s="851"/>
      <c r="G66" s="851"/>
      <c r="H66" s="851"/>
      <c r="I66" s="851"/>
      <c r="J66" s="851"/>
      <c r="K66" s="851"/>
      <c r="L66" s="851"/>
      <c r="M66" s="851"/>
      <c r="N66" s="851"/>
      <c r="O66" s="851"/>
      <c r="P66" s="852"/>
    </row>
    <row r="68" spans="1:16" x14ac:dyDescent="0.2">
      <c r="A68" s="626" t="s">
        <v>454</v>
      </c>
      <c r="B68" s="632" t="s">
        <v>452</v>
      </c>
    </row>
    <row r="69" spans="1:16" x14ac:dyDescent="0.2">
      <c r="A69" s="631">
        <f>G61</f>
        <v>28341233.739999998</v>
      </c>
      <c r="B69" s="631">
        <f>H61</f>
        <v>19709178.650000002</v>
      </c>
    </row>
    <row r="73" spans="1:16" x14ac:dyDescent="0.2">
      <c r="A73" s="626" t="s">
        <v>454</v>
      </c>
      <c r="B73" s="632" t="s">
        <v>452</v>
      </c>
    </row>
    <row r="74" spans="1:16" x14ac:dyDescent="0.2">
      <c r="A74" s="631">
        <f>G62</f>
        <v>2244045.9579999996</v>
      </c>
      <c r="B74" s="631">
        <f>H62</f>
        <v>2080996.9563999998</v>
      </c>
    </row>
    <row r="77" spans="1:16" x14ac:dyDescent="0.2">
      <c r="A77" s="626" t="s">
        <v>454</v>
      </c>
      <c r="B77" s="632" t="s">
        <v>452</v>
      </c>
    </row>
    <row r="78" spans="1:16" x14ac:dyDescent="0.2">
      <c r="A78" s="631">
        <f>G63</f>
        <v>2393000</v>
      </c>
      <c r="B78" s="631">
        <f>H63</f>
        <v>598250</v>
      </c>
    </row>
    <row r="81" spans="1:2" x14ac:dyDescent="0.2">
      <c r="A81" s="626" t="s">
        <v>454</v>
      </c>
      <c r="B81" s="632" t="s">
        <v>452</v>
      </c>
    </row>
    <row r="82" spans="1:2" x14ac:dyDescent="0.2">
      <c r="A82" s="631">
        <f>G64</f>
        <v>3116000</v>
      </c>
      <c r="B82" s="631">
        <f>H64</f>
        <v>779000</v>
      </c>
    </row>
    <row r="85" spans="1:2" x14ac:dyDescent="0.2">
      <c r="A85" s="626" t="s">
        <v>454</v>
      </c>
      <c r="B85" s="632" t="s">
        <v>452</v>
      </c>
    </row>
    <row r="86" spans="1:2" x14ac:dyDescent="0.2">
      <c r="A86" s="631">
        <f>G61</f>
        <v>28341233.739999998</v>
      </c>
      <c r="B86" s="631">
        <f>J61</f>
        <v>21746533.739999998</v>
      </c>
    </row>
    <row r="89" spans="1:2" x14ac:dyDescent="0.2">
      <c r="A89" s="626" t="s">
        <v>454</v>
      </c>
      <c r="B89" s="632" t="s">
        <v>452</v>
      </c>
    </row>
    <row r="90" spans="1:2" x14ac:dyDescent="0.2">
      <c r="A90" s="631">
        <f>G62</f>
        <v>2244045.9579999996</v>
      </c>
      <c r="B90" s="631">
        <f>J62</f>
        <v>2244045.9579999996</v>
      </c>
    </row>
    <row r="93" spans="1:2" x14ac:dyDescent="0.2">
      <c r="A93" s="626" t="s">
        <v>454</v>
      </c>
      <c r="B93" s="632" t="s">
        <v>452</v>
      </c>
    </row>
    <row r="94" spans="1:2" x14ac:dyDescent="0.2">
      <c r="A94" s="631">
        <f>G63</f>
        <v>2393000</v>
      </c>
      <c r="B94" s="631">
        <f>J63</f>
        <v>646110.00000000012</v>
      </c>
    </row>
    <row r="97" spans="1:16" x14ac:dyDescent="0.2">
      <c r="A97" s="626" t="s">
        <v>454</v>
      </c>
      <c r="B97" s="632" t="s">
        <v>452</v>
      </c>
    </row>
    <row r="98" spans="1:16" ht="12" thickBot="1" x14ac:dyDescent="0.25">
      <c r="A98" s="626"/>
      <c r="B98" s="632"/>
    </row>
    <row r="99" spans="1:16" ht="12.75" customHeight="1" thickBot="1" x14ac:dyDescent="0.3">
      <c r="A99" s="626"/>
      <c r="B99" s="632"/>
      <c r="D99" s="850" t="s">
        <v>476</v>
      </c>
      <c r="E99" s="851"/>
      <c r="F99" s="851"/>
      <c r="G99" s="851"/>
      <c r="H99" s="851"/>
      <c r="I99" s="851"/>
      <c r="J99" s="851"/>
      <c r="K99" s="851"/>
      <c r="L99" s="851"/>
      <c r="M99" s="851"/>
      <c r="N99" s="851"/>
      <c r="O99" s="851"/>
      <c r="P99" s="852"/>
    </row>
    <row r="100" spans="1:16" x14ac:dyDescent="0.2">
      <c r="A100" s="631">
        <f>G64</f>
        <v>3116000</v>
      </c>
      <c r="B100" s="631">
        <f>J64</f>
        <v>841320.00000000012</v>
      </c>
    </row>
  </sheetData>
  <mergeCells count="13">
    <mergeCell ref="B2:P2"/>
    <mergeCell ref="D4:H4"/>
    <mergeCell ref="I4:L4"/>
    <mergeCell ref="M4:P4"/>
    <mergeCell ref="D66:P66"/>
    <mergeCell ref="D22:P22"/>
    <mergeCell ref="D39:P39"/>
    <mergeCell ref="D99:P99"/>
    <mergeCell ref="G12:K12"/>
    <mergeCell ref="G13:K13"/>
    <mergeCell ref="G58:K58"/>
    <mergeCell ref="H59:I59"/>
    <mergeCell ref="J59:K59"/>
  </mergeCells>
  <pageMargins left="0.70866141732283472" right="0.55118110236220474" top="0.19685039370078741" bottom="0.15748031496062992" header="0.11811023622047245" footer="0.11811023622047245"/>
  <pageSetup paperSize="9" scale="90" fitToWidth="3" orientation="landscape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Topes UF</vt:lpstr>
      <vt:lpstr>Input Planilla Análisis</vt:lpstr>
      <vt:lpstr>Planilla Análisis ( isapre)</vt:lpstr>
      <vt:lpstr>c.s.i</vt:lpstr>
      <vt:lpstr>Reporte V1</vt:lpstr>
      <vt:lpstr>Reporte V2</vt:lpstr>
      <vt:lpstr>Hoja10</vt:lpstr>
      <vt:lpstr>Hoja7</vt:lpstr>
      <vt:lpstr>Hoja3</vt:lpstr>
      <vt:lpstr>Prestaciones</vt:lpstr>
      <vt:lpstr>Hoja5</vt:lpstr>
      <vt:lpstr>plantilla isapre</vt:lpstr>
      <vt:lpstr>Hoja6</vt:lpstr>
      <vt:lpstr>Hoja8</vt:lpstr>
      <vt:lpstr>Fonasa</vt:lpstr>
      <vt:lpstr>Reporte siniestro</vt:lpstr>
      <vt:lpstr>Prestacion mas uso</vt:lpstr>
      <vt:lpstr>Hoja9</vt:lpstr>
      <vt:lpstr>Hoja2</vt:lpstr>
      <vt:lpstr>Hoja1</vt:lpstr>
      <vt:lpstr>Datos</vt:lpstr>
      <vt:lpstr>Cartilla Universal</vt:lpstr>
      <vt:lpstr>Datos Cliente</vt:lpstr>
    </vt:vector>
  </TitlesOfParts>
  <Company>BATALLE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windows7</cp:lastModifiedBy>
  <cp:lastPrinted>2016-09-27T23:15:28Z</cp:lastPrinted>
  <dcterms:created xsi:type="dcterms:W3CDTF">2009-04-20T14:12:56Z</dcterms:created>
  <dcterms:modified xsi:type="dcterms:W3CDTF">2016-12-28T21:03:20Z</dcterms:modified>
</cp:coreProperties>
</file>