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ome\gstillman\!Guidance\Excel\"/>
    </mc:Choice>
  </mc:AlternateContent>
  <bookViews>
    <workbookView xWindow="0" yWindow="0" windowWidth="28800" windowHeight="12135" activeTab="1"/>
  </bookViews>
  <sheets>
    <sheet name="JOURNAL ENTRY VOUCHER" sheetId="4" r:id="rId1"/>
    <sheet name="JE" sheetId="1" r:id="rId2"/>
    <sheet name="FIELDNAME ARO 2012" sheetId="2" r:id="rId3"/>
    <sheet name="Reserve Report 12-31-11" sheetId="3" r:id="rId4"/>
  </sheets>
  <externalReferences>
    <externalReference r:id="rId5"/>
  </externalReferences>
  <definedNames>
    <definedName name="_xlnm.Print_Area" localSheetId="2">'FIELDNAME ARO 2012'!$A$1:$BF$54</definedName>
  </definedNames>
  <calcPr calcId="152511"/>
</workbook>
</file>

<file path=xl/calcChain.xml><?xml version="1.0" encoding="utf-8"?>
<calcChain xmlns="http://schemas.openxmlformats.org/spreadsheetml/2006/main">
  <c r="AZ23" i="2" l="1"/>
  <c r="N25" i="2" l="1"/>
  <c r="P25" i="2"/>
  <c r="AY36" i="2" l="1"/>
  <c r="BA36" i="2"/>
  <c r="BC36" i="2"/>
  <c r="BE36" i="2"/>
  <c r="BG36" i="2"/>
  <c r="BI36" i="2"/>
  <c r="N26" i="2"/>
  <c r="P26" i="2"/>
  <c r="BM40" i="2" l="1"/>
  <c r="BM39" i="2"/>
  <c r="BM37" i="2"/>
  <c r="BM36" i="2"/>
  <c r="P34" i="2"/>
  <c r="P24" i="2"/>
  <c r="N24" i="2"/>
  <c r="P23" i="2"/>
  <c r="N23" i="2"/>
  <c r="N22" i="2"/>
  <c r="P21" i="2"/>
  <c r="N21" i="2"/>
  <c r="R19" i="2"/>
  <c r="H21" i="2"/>
  <c r="J21" i="2" l="1"/>
  <c r="H28" i="2"/>
  <c r="J27" i="2"/>
  <c r="J28" i="2"/>
  <c r="H27" i="2"/>
  <c r="T19" i="2"/>
  <c r="T21" i="2" s="1"/>
  <c r="R25" i="2"/>
  <c r="R26" i="2"/>
  <c r="H25" i="2"/>
  <c r="J25" i="2"/>
  <c r="H26" i="2"/>
  <c r="H24" i="2"/>
  <c r="H23" i="2"/>
  <c r="H22" i="2"/>
  <c r="J26" i="2"/>
  <c r="N30" i="2"/>
  <c r="J22" i="2"/>
  <c r="AL22" i="2" s="1"/>
  <c r="J23" i="2"/>
  <c r="AL23" i="2" s="1"/>
  <c r="J24" i="2"/>
  <c r="AL24" i="2" s="1"/>
  <c r="R24" i="2"/>
  <c r="R21" i="2"/>
  <c r="R34" i="2"/>
  <c r="R23" i="2"/>
  <c r="T24" i="2" l="1"/>
  <c r="T23" i="2"/>
  <c r="T34" i="2"/>
  <c r="V19" i="2"/>
  <c r="X19" i="2" s="1"/>
  <c r="T25" i="2"/>
  <c r="T26" i="2"/>
  <c r="J30" i="2"/>
  <c r="AL21" i="2"/>
  <c r="V23" i="2" l="1"/>
  <c r="V34" i="2"/>
  <c r="X25" i="2"/>
  <c r="X26" i="2"/>
  <c r="V25" i="2"/>
  <c r="V26" i="2"/>
  <c r="V21" i="2"/>
  <c r="V24" i="2"/>
  <c r="AL30" i="2"/>
  <c r="AL39" i="2"/>
  <c r="AL40" i="2" s="1"/>
  <c r="X23" i="2"/>
  <c r="X24" i="2"/>
  <c r="X34" i="2"/>
  <c r="Z19" i="2"/>
  <c r="Z25" i="2" l="1"/>
  <c r="Z26" i="2"/>
  <c r="Z24" i="2"/>
  <c r="Z34" i="2"/>
  <c r="Z23" i="2"/>
  <c r="AB19" i="2"/>
  <c r="AB25" i="2" l="1"/>
  <c r="AB26" i="2"/>
  <c r="AB34" i="2"/>
  <c r="AB23" i="2"/>
  <c r="AD19" i="2"/>
  <c r="AD25" i="2" l="1"/>
  <c r="AD26" i="2"/>
  <c r="AD34" i="2"/>
  <c r="AD23" i="2"/>
  <c r="AF19" i="2"/>
  <c r="AF25" i="2" l="1"/>
  <c r="AF26" i="2"/>
  <c r="AF34" i="2"/>
  <c r="AH19" i="2"/>
  <c r="AH25" i="2" l="1"/>
  <c r="AH26" i="2"/>
  <c r="AH34" i="2"/>
  <c r="AJ19" i="2"/>
  <c r="AJ25" i="2" l="1"/>
  <c r="AJ26" i="2"/>
  <c r="AJ34" i="2"/>
  <c r="AL19" i="2"/>
  <c r="AJ22" i="2" s="1"/>
  <c r="AJ23" i="2" l="1"/>
  <c r="AL34" i="2"/>
  <c r="AN19" i="2"/>
  <c r="T22" i="2"/>
  <c r="R22" i="2"/>
  <c r="P22" i="2"/>
  <c r="V22" i="2"/>
  <c r="X22" i="2"/>
  <c r="X21" i="2"/>
  <c r="Z22" i="2"/>
  <c r="Z21" i="2"/>
  <c r="AB21" i="2"/>
  <c r="AB24" i="2"/>
  <c r="AB22" i="2"/>
  <c r="AD22" i="2"/>
  <c r="AD21" i="2"/>
  <c r="AD24" i="2"/>
  <c r="AF23" i="2"/>
  <c r="AF24" i="2"/>
  <c r="AF21" i="2"/>
  <c r="AF22" i="2"/>
  <c r="AH24" i="2"/>
  <c r="AH23" i="2"/>
  <c r="AH21" i="2"/>
  <c r="AH22" i="2"/>
  <c r="AJ24" i="2"/>
  <c r="AJ21" i="2"/>
  <c r="AN28" i="2" l="1"/>
  <c r="AN27" i="2"/>
  <c r="AN21" i="2"/>
  <c r="AN25" i="2"/>
  <c r="AN26" i="2"/>
  <c r="AJ30" i="2"/>
  <c r="AJ39" i="2"/>
  <c r="AJ40" i="2" s="1"/>
  <c r="AH39" i="2"/>
  <c r="AH40" i="2" s="1"/>
  <c r="AH30" i="2"/>
  <c r="AF39" i="2"/>
  <c r="AF40" i="2" s="1"/>
  <c r="AF30" i="2"/>
  <c r="AD30" i="2"/>
  <c r="AD39" i="2"/>
  <c r="AD40" i="2" s="1"/>
  <c r="AB30" i="2"/>
  <c r="AB39" i="2"/>
  <c r="AB40" i="2" s="1"/>
  <c r="T39" i="2"/>
  <c r="T40" i="2" s="1"/>
  <c r="T30" i="2"/>
  <c r="Z39" i="2"/>
  <c r="Z40" i="2" s="1"/>
  <c r="Z30" i="2"/>
  <c r="V39" i="2"/>
  <c r="V40" i="2" s="1"/>
  <c r="V30" i="2"/>
  <c r="AN23" i="2"/>
  <c r="AP19" i="2"/>
  <c r="AN24" i="2"/>
  <c r="AN34" i="2"/>
  <c r="AN22" i="2"/>
  <c r="P39" i="2"/>
  <c r="P30" i="2"/>
  <c r="X39" i="2"/>
  <c r="X40" i="2" s="1"/>
  <c r="X30" i="2"/>
  <c r="R39" i="2"/>
  <c r="R40" i="2" s="1"/>
  <c r="R30" i="2"/>
  <c r="AP27" i="2" l="1"/>
  <c r="AP28" i="2"/>
  <c r="AP25" i="2"/>
  <c r="AP26" i="2"/>
  <c r="AF36" i="2"/>
  <c r="AF37" i="2" s="1"/>
  <c r="P40" i="2"/>
  <c r="P48" i="2"/>
  <c r="R48" i="2" s="1"/>
  <c r="T48" i="2" s="1"/>
  <c r="V48" i="2" s="1"/>
  <c r="X48" i="2" s="1"/>
  <c r="Z48" i="2" s="1"/>
  <c r="AB48" i="2" s="1"/>
  <c r="AD48" i="2" s="1"/>
  <c r="AF48" i="2" s="1"/>
  <c r="AH48" i="2" s="1"/>
  <c r="AJ48" i="2" s="1"/>
  <c r="AL48" i="2" s="1"/>
  <c r="AN39" i="2"/>
  <c r="AN30" i="2"/>
  <c r="AP24" i="2"/>
  <c r="AP21" i="2"/>
  <c r="AP34" i="2"/>
  <c r="AP22" i="2"/>
  <c r="AP23" i="2"/>
  <c r="AR19" i="2"/>
  <c r="Z36" i="2"/>
  <c r="Z37" i="2" s="1"/>
  <c r="AB36" i="2"/>
  <c r="AB37" i="2" s="1"/>
  <c r="R36" i="2"/>
  <c r="R37" i="2" s="1"/>
  <c r="P36" i="2"/>
  <c r="V36" i="2"/>
  <c r="V37" i="2" s="1"/>
  <c r="T36" i="2"/>
  <c r="T37" i="2" s="1"/>
  <c r="AH36" i="2"/>
  <c r="AH37" i="2" s="1"/>
  <c r="AD36" i="2"/>
  <c r="AD37" i="2" s="1"/>
  <c r="X36" i="2"/>
  <c r="X37" i="2" s="1"/>
  <c r="AJ36" i="2"/>
  <c r="AJ37" i="2" s="1"/>
  <c r="AL36" i="2"/>
  <c r="AL37" i="2" s="1"/>
  <c r="AR28" i="2" l="1"/>
  <c r="AR27" i="2"/>
  <c r="AR25" i="2"/>
  <c r="AR26" i="2"/>
  <c r="AN48" i="2"/>
  <c r="AN36" i="2"/>
  <c r="P37" i="2"/>
  <c r="P49" i="2" s="1"/>
  <c r="R49" i="2" s="1"/>
  <c r="T49" i="2" s="1"/>
  <c r="V49" i="2" s="1"/>
  <c r="X49" i="2" s="1"/>
  <c r="Z49" i="2" s="1"/>
  <c r="AB49" i="2" s="1"/>
  <c r="AD49" i="2" s="1"/>
  <c r="AF49" i="2" s="1"/>
  <c r="AH49" i="2" s="1"/>
  <c r="AJ49" i="2" s="1"/>
  <c r="AL49" i="2" s="1"/>
  <c r="P50" i="2"/>
  <c r="R50" i="2" s="1"/>
  <c r="T50" i="2" s="1"/>
  <c r="V50" i="2" s="1"/>
  <c r="X50" i="2" s="1"/>
  <c r="Z50" i="2" s="1"/>
  <c r="AB50" i="2" s="1"/>
  <c r="AD50" i="2" s="1"/>
  <c r="AF50" i="2" s="1"/>
  <c r="AH50" i="2" s="1"/>
  <c r="AJ50" i="2" s="1"/>
  <c r="AL50" i="2" s="1"/>
  <c r="AP39" i="2"/>
  <c r="AP40" i="2" s="1"/>
  <c r="AP30" i="2"/>
  <c r="AN40" i="2"/>
  <c r="AR21" i="2"/>
  <c r="AR34" i="2"/>
  <c r="AR22" i="2"/>
  <c r="AR23" i="2"/>
  <c r="AR24" i="2"/>
  <c r="AT19" i="2"/>
  <c r="AT27" i="2" l="1"/>
  <c r="AT28" i="2"/>
  <c r="AT25" i="2"/>
  <c r="AT26" i="2"/>
  <c r="AP36" i="2"/>
  <c r="AT34" i="2"/>
  <c r="AT22" i="2"/>
  <c r="AT23" i="2"/>
  <c r="AV19" i="2"/>
  <c r="AT24" i="2"/>
  <c r="AT21" i="2"/>
  <c r="AR30" i="2"/>
  <c r="AR39" i="2"/>
  <c r="AN37" i="2"/>
  <c r="AN49" i="2" s="1"/>
  <c r="AN50" i="2"/>
  <c r="AP48" i="2"/>
  <c r="AV28" i="2" l="1"/>
  <c r="AV27" i="2"/>
  <c r="AV25" i="2"/>
  <c r="AV26" i="2"/>
  <c r="AP50" i="2"/>
  <c r="AR36" i="2"/>
  <c r="AP37" i="2"/>
  <c r="AP49" i="2" s="1"/>
  <c r="AR48" i="2"/>
  <c r="AR40" i="2"/>
  <c r="AV23" i="2"/>
  <c r="AX19" i="2"/>
  <c r="AV24" i="2"/>
  <c r="AV34" i="2"/>
  <c r="AV22" i="2"/>
  <c r="AV21" i="2"/>
  <c r="AT30" i="2"/>
  <c r="AT39" i="2"/>
  <c r="AT40" i="2" s="1"/>
  <c r="AX28" i="2" l="1"/>
  <c r="AX27" i="2"/>
  <c r="AR50" i="2"/>
  <c r="AX25" i="2"/>
  <c r="AX26" i="2"/>
  <c r="AT36" i="2"/>
  <c r="AT37" i="2" s="1"/>
  <c r="AV39" i="2"/>
  <c r="AV30" i="2"/>
  <c r="AX24" i="2"/>
  <c r="AX21" i="2"/>
  <c r="AX34" i="2"/>
  <c r="AX22" i="2"/>
  <c r="AX23" i="2"/>
  <c r="AZ19" i="2"/>
  <c r="AR37" i="2"/>
  <c r="AT48" i="2"/>
  <c r="AT50" i="2" l="1"/>
  <c r="AZ28" i="2"/>
  <c r="AZ27" i="2"/>
  <c r="AZ25" i="2"/>
  <c r="AZ26" i="2"/>
  <c r="AV36" i="2"/>
  <c r="AV50" i="2" s="1"/>
  <c r="AV40" i="2"/>
  <c r="AV48" i="2"/>
  <c r="AR49" i="2"/>
  <c r="AT49" i="2" s="1"/>
  <c r="AZ21" i="2"/>
  <c r="AZ34" i="2"/>
  <c r="AZ22" i="2"/>
  <c r="AZ24" i="2"/>
  <c r="BB19" i="2"/>
  <c r="AX39" i="2"/>
  <c r="AX40" i="2" s="1"/>
  <c r="AX30" i="2"/>
  <c r="BB27" i="2" l="1"/>
  <c r="BB28" i="2"/>
  <c r="BB25" i="2"/>
  <c r="BB26" i="2"/>
  <c r="AX36" i="2"/>
  <c r="AZ30" i="2"/>
  <c r="AZ39" i="2"/>
  <c r="AZ40" i="2" s="1"/>
  <c r="AX48" i="2"/>
  <c r="BB34" i="2"/>
  <c r="BB22" i="2"/>
  <c r="BB23" i="2"/>
  <c r="BD19" i="2"/>
  <c r="BB24" i="2"/>
  <c r="BB21" i="2"/>
  <c r="AV37" i="2"/>
  <c r="AV49" i="2" s="1"/>
  <c r="BD28" i="2" l="1"/>
  <c r="BD27" i="2"/>
  <c r="AX37" i="2"/>
  <c r="AX49" i="2" s="1"/>
  <c r="BD26" i="2"/>
  <c r="BD25" i="2"/>
  <c r="AZ36" i="2"/>
  <c r="AZ48" i="2"/>
  <c r="BD23" i="2"/>
  <c r="BF19" i="2"/>
  <c r="BD24" i="2"/>
  <c r="BD34" i="2"/>
  <c r="BD22" i="2"/>
  <c r="BD21" i="2"/>
  <c r="BB30" i="2"/>
  <c r="BB39" i="2"/>
  <c r="BB40" i="2" s="1"/>
  <c r="AX50" i="2"/>
  <c r="BF27" i="2" l="1"/>
  <c r="BF28" i="2"/>
  <c r="AZ50" i="2"/>
  <c r="BF25" i="2"/>
  <c r="BF26" i="2"/>
  <c r="BB36" i="2"/>
  <c r="BD39" i="2"/>
  <c r="BD40" i="2" s="1"/>
  <c r="BD30" i="2"/>
  <c r="AZ37" i="2"/>
  <c r="BB48" i="2"/>
  <c r="BF24" i="2"/>
  <c r="BF21" i="2"/>
  <c r="BF34" i="2"/>
  <c r="BF22" i="2"/>
  <c r="BF23" i="2"/>
  <c r="BH19" i="2"/>
  <c r="BH28" i="2" l="1"/>
  <c r="BH27" i="2"/>
  <c r="BB37" i="2"/>
  <c r="AZ49" i="2"/>
  <c r="BH25" i="2"/>
  <c r="BH26" i="2"/>
  <c r="BD36" i="2"/>
  <c r="BB50" i="2"/>
  <c r="BH21" i="2"/>
  <c r="BH34" i="2"/>
  <c r="BH22" i="2"/>
  <c r="BH23" i="2"/>
  <c r="BH24" i="2"/>
  <c r="BJ19" i="2"/>
  <c r="BD48" i="2"/>
  <c r="BF39" i="2"/>
  <c r="BF40" i="2" s="1"/>
  <c r="BF30" i="2"/>
  <c r="BB49" i="2" l="1"/>
  <c r="BJ27" i="2"/>
  <c r="BJ28" i="2"/>
  <c r="BJ25" i="2"/>
  <c r="BJ26" i="2"/>
  <c r="BF36" i="2"/>
  <c r="A17" i="1" s="1"/>
  <c r="BD50" i="2"/>
  <c r="BF48" i="2"/>
  <c r="BJ34" i="2"/>
  <c r="BJ22" i="2"/>
  <c r="BJ23" i="2"/>
  <c r="BJ24" i="2"/>
  <c r="BJ21" i="2"/>
  <c r="BF37" i="2"/>
  <c r="A18" i="1" s="1"/>
  <c r="BD37" i="2"/>
  <c r="BH30" i="2"/>
  <c r="BH39" i="2"/>
  <c r="BH40" i="2" s="1"/>
  <c r="BD49" i="2" l="1"/>
  <c r="BF49" i="2" s="1"/>
  <c r="BH36" i="2"/>
  <c r="BH37" i="2" s="1"/>
  <c r="BH48" i="2"/>
  <c r="BJ30" i="2"/>
  <c r="BJ39" i="2"/>
  <c r="BF50" i="2"/>
  <c r="BH50" i="2" s="1"/>
  <c r="BJ36" i="2" l="1"/>
  <c r="BH49" i="2"/>
  <c r="BJ40" i="2"/>
  <c r="BL40" i="2" s="1"/>
  <c r="BN40" i="2" s="1"/>
  <c r="BL39" i="2"/>
  <c r="BN39" i="2" s="1"/>
  <c r="BJ50" i="2"/>
  <c r="BJ48" i="2"/>
  <c r="BJ37" i="2" l="1"/>
  <c r="BL36" i="2"/>
  <c r="BN36" i="2" s="1"/>
  <c r="BL37" i="2" l="1"/>
  <c r="BN37" i="2" s="1"/>
  <c r="BJ49" i="2"/>
  <c r="M18" i="1" l="1"/>
  <c r="G17" i="1"/>
  <c r="G18" i="1" s="1"/>
</calcChain>
</file>

<file path=xl/comments1.xml><?xml version="1.0" encoding="utf-8"?>
<comments xmlns="http://schemas.openxmlformats.org/spreadsheetml/2006/main">
  <authors>
    <author>Steve Wolf</author>
    <author>it@bolosystems.com</author>
    <author>Jan Magid</author>
    <author>Nancy Knapschafer</author>
    <author>sherylf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>Number assigned must not exist in the database.  Leave blank if you wish the system to assign the next voucher number.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CONV OVERRIDE flag is set to ‘Y’ in the template only the currency set  as the company's functional will be updated no other reporting currencies will be updated
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 xml:space="preserve">The asterisk in the first position indicates that this line will be ignored.  This line does not need to be removed. 
Data entry:
Format: nnnn.nn, or nnnn, or for a credit: - nnnn.nn, or -nnnn.
If the entry is to be made to an 8/8’s billing account and all that is known is the net amount, you may enter an ‘N’ immediately preceding the amount (or Net amount). When a billing deck that is selected includes the balancing owner, the system automatically calculates the 8/8’s amount upon uploading.
</t>
        </r>
      </text>
    </comment>
    <comment ref="B16" authorId="3" shapeId="0">
      <text>
        <r>
          <rPr>
            <sz val="8"/>
            <color indexed="81"/>
            <rFont val="Tahoma"/>
            <family val="2"/>
          </rPr>
          <t>If you want the distribution company DIFFERENT from originating company, input the Dist Company, otherwise, leave blank.</t>
        </r>
      </text>
    </comment>
    <comment ref="D16" authorId="2" shapeId="0">
      <text>
        <r>
          <rPr>
            <sz val="8"/>
            <color indexed="81"/>
            <rFont val="Tahoma"/>
            <family val="2"/>
          </rPr>
          <t>Enter as CODE*VALUE.  Separate multiples by a semicolon (;).</t>
        </r>
      </text>
    </comment>
    <comment ref="E16" authorId="4" shapeId="0">
      <text>
        <r>
          <rPr>
            <sz val="8"/>
            <color indexed="81"/>
            <rFont val="Tahoma"/>
            <family val="2"/>
          </rPr>
          <t>If entering a project that is tied to a cost center, you do not need to enter the cost center.</t>
        </r>
      </text>
    </comment>
    <comment ref="F16" authorId="4" shapeId="0">
      <text>
        <r>
          <rPr>
            <sz val="8"/>
            <color indexed="81"/>
            <rFont val="Tahoma"/>
            <family val="2"/>
          </rPr>
          <t xml:space="preserve">If entering a project that is tied to a cost center, you do not need to enter the cost center.
</t>
        </r>
      </text>
    </comment>
    <comment ref="G16" authorId="4" shapeId="0">
      <text>
        <r>
          <rPr>
            <sz val="8"/>
            <color indexed="81"/>
            <rFont val="Tahoma"/>
            <family val="2"/>
          </rPr>
          <t>When cell left blank, system uses occurance date entered in above vendor/invoice information.</t>
        </r>
      </text>
    </comment>
    <comment ref="H16" authorId="4" shapeId="0">
      <text>
        <r>
          <rPr>
            <sz val="8"/>
            <color indexed="81"/>
            <rFont val="Tahoma"/>
            <family val="2"/>
          </rPr>
          <t xml:space="preserve">Used only when the account entered is an "AR" subledger required account.  If applicable, enter the name </t>
        </r>
        <r>
          <rPr>
            <b/>
            <i/>
            <sz val="8"/>
            <color indexed="81"/>
            <rFont val="Tahoma"/>
            <family val="2"/>
          </rPr>
          <t>id</t>
        </r>
        <r>
          <rPr>
            <sz val="8"/>
            <color indexed="81"/>
            <rFont val="Tahoma"/>
            <family val="2"/>
          </rPr>
          <t xml:space="preserve"> of the customer to whom this amount is being charged.</t>
        </r>
      </text>
    </comment>
    <comment ref="I16" authorId="4" shapeId="0">
      <text>
        <r>
          <rPr>
            <sz val="8"/>
            <color indexed="81"/>
            <rFont val="Tahoma"/>
            <family val="2"/>
          </rPr>
          <t>Used only when the account entered is an "AR" subledger required account.
If applicable, enter "N" for a new invoice number, or enter the existing invoice number that needs to be adjusted by the amount of this transaction item.</t>
        </r>
      </text>
    </comment>
    <comment ref="K16" authorId="4" shapeId="0">
      <text>
        <r>
          <rPr>
            <sz val="8"/>
            <color indexed="81"/>
            <rFont val="Tahoma"/>
            <family val="2"/>
          </rPr>
          <t>Used only when coding to a billable account.
Enter owner number to whom 100% of transaction should be charged.</t>
        </r>
      </text>
    </comment>
  </commentList>
</comments>
</file>

<file path=xl/comments2.xml><?xml version="1.0" encoding="utf-8"?>
<comments xmlns="http://schemas.openxmlformats.org/spreadsheetml/2006/main">
  <authors>
    <author>Greg Stillman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 xml:space="preserve">Not on 12/31/2011 reserve report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 xml:space="preserve">Not on 12/31/2011 reserve report
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 xml:space="preserve">Not on 12/31/2011 reserve report
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 xml:space="preserve">Not on 12/31/2011 reserve report
</t>
        </r>
      </text>
    </comment>
  </commentList>
</comments>
</file>

<file path=xl/sharedStrings.xml><?xml version="1.0" encoding="utf-8"?>
<sst xmlns="http://schemas.openxmlformats.org/spreadsheetml/2006/main" count="121" uniqueCount="82">
  <si>
    <t>*Version 2.0</t>
  </si>
  <si>
    <t>COMPANY:</t>
  </si>
  <si>
    <t>ACCTG PERIOD:</t>
  </si>
  <si>
    <t>VOUCHER SOURCE:</t>
  </si>
  <si>
    <t>JE</t>
  </si>
  <si>
    <t>VOUCHER:</t>
  </si>
  <si>
    <t>JE TYPE:</t>
  </si>
  <si>
    <t>EXPLANATION:</t>
  </si>
  <si>
    <t>OCCUR DATE:</t>
  </si>
  <si>
    <t>CONTROL TOTAL:</t>
  </si>
  <si>
    <t>AUTO REVERSE:</t>
  </si>
  <si>
    <t>CURRENCY:</t>
  </si>
  <si>
    <t>CONV OVERRIDE:</t>
  </si>
  <si>
    <t>ALT ACT DATE:</t>
  </si>
  <si>
    <t>TRANS:</t>
  </si>
  <si>
    <t>*Amount</t>
  </si>
  <si>
    <t>Dist company</t>
  </si>
  <si>
    <t>Account</t>
  </si>
  <si>
    <t>Suppl coding</t>
  </si>
  <si>
    <t>Project</t>
  </si>
  <si>
    <t>Cost center</t>
  </si>
  <si>
    <t>Occur date</t>
  </si>
  <si>
    <t>AR Name</t>
  </si>
  <si>
    <t>AR invoice</t>
  </si>
  <si>
    <t>Jib deck</t>
  </si>
  <si>
    <t>Direct bill</t>
  </si>
  <si>
    <t>Bal amount</t>
  </si>
  <si>
    <t>Description</t>
  </si>
  <si>
    <t>Qty1</t>
  </si>
  <si>
    <t>Qty2</t>
  </si>
  <si>
    <t>ENDOFVOUCHER:</t>
  </si>
  <si>
    <t>Asset Retirement Obligation Schedule for 2012</t>
  </si>
  <si>
    <t>(Dollars in Actuals, Except for Oil &amp; Gas Data)</t>
  </si>
  <si>
    <t>Assumptions</t>
  </si>
  <si>
    <t>Initial Assessment Date</t>
  </si>
  <si>
    <r>
      <t xml:space="preserve">Inflation Factor </t>
    </r>
    <r>
      <rPr>
        <vertAlign val="superscript"/>
        <sz val="10"/>
        <rFont val="Calibri"/>
        <family val="2"/>
        <scheme val="minor"/>
      </rPr>
      <t>(1)</t>
    </r>
  </si>
  <si>
    <r>
      <t xml:space="preserve">Discount Rate </t>
    </r>
    <r>
      <rPr>
        <vertAlign val="superscript"/>
        <sz val="10"/>
        <rFont val="Calibri"/>
        <family val="2"/>
        <scheme val="minor"/>
      </rPr>
      <t>(2)</t>
    </r>
  </si>
  <si>
    <t>Per Well Abandonment &amp; Restoration Cost</t>
  </si>
  <si>
    <t>Asset Retirement Obligation Calculation</t>
  </si>
  <si>
    <t>Working</t>
  </si>
  <si>
    <t xml:space="preserve">Reserve </t>
  </si>
  <si>
    <t>Interest</t>
  </si>
  <si>
    <r>
      <t xml:space="preserve">Remaining </t>
    </r>
    <r>
      <rPr>
        <vertAlign val="superscript"/>
        <sz val="10"/>
        <color theme="1"/>
        <rFont val="Calibri"/>
        <family val="2"/>
        <scheme val="minor"/>
      </rPr>
      <t>(3)</t>
    </r>
  </si>
  <si>
    <t>Undiscounted</t>
  </si>
  <si>
    <t>First Prod.</t>
  </si>
  <si>
    <t>ARO @</t>
  </si>
  <si>
    <t>Well Name</t>
  </si>
  <si>
    <t xml:space="preserve">Category </t>
  </si>
  <si>
    <t>%</t>
  </si>
  <si>
    <t>Well Life</t>
  </si>
  <si>
    <t>Future Cost</t>
  </si>
  <si>
    <t>ARO</t>
  </si>
  <si>
    <t>Month</t>
  </si>
  <si>
    <t>PDP</t>
  </si>
  <si>
    <t>TOTAL</t>
  </si>
  <si>
    <t>Monthly Journal Entries</t>
  </si>
  <si>
    <t>JE tabs check</t>
  </si>
  <si>
    <t>Dr. Accretion Expense</t>
  </si>
  <si>
    <t>600-012</t>
  </si>
  <si>
    <t>Cr. ARO Liability</t>
  </si>
  <si>
    <t>260-010</t>
  </si>
  <si>
    <t>Dr. ARO - Proved O&amp;G Property</t>
  </si>
  <si>
    <t>170-030</t>
  </si>
  <si>
    <t>(1) Inflation factor calculated as 10 year historical average CPI as published by the Bureau of Labor Statistics.</t>
  </si>
  <si>
    <t>(2) Company estimate of the premium a P&amp;A contractor would demand for locking in today's cost estimate for a project to be undertaken in the future.</t>
  </si>
  <si>
    <t>(2) Company's incremental cost of borrowing per its amended credit facility plus Treasury Rate.</t>
  </si>
  <si>
    <t>Balance check</t>
  </si>
  <si>
    <t>225L</t>
  </si>
  <si>
    <t>Note: Includes all proved oil and gas properties evaluated in the June 30, 2012 reserve report.</t>
  </si>
  <si>
    <t>OCTOBER 2012 Accretion</t>
  </si>
  <si>
    <t>October 2012 ARO Addition &amp; Accretion</t>
  </si>
  <si>
    <t>Well Name #1H</t>
  </si>
  <si>
    <t>Well Name #2</t>
  </si>
  <si>
    <t>Well Name #3</t>
  </si>
  <si>
    <t>Well Name #4</t>
  </si>
  <si>
    <t>Well Name #5</t>
  </si>
  <si>
    <t>Well Name #6</t>
  </si>
  <si>
    <t>Well Name #27</t>
  </si>
  <si>
    <t>Well Name #8</t>
  </si>
  <si>
    <t>(3) Per reserve report effective June 30, 2012 utilizing NYMEX forward pricing.</t>
  </si>
  <si>
    <t>Company Name</t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</si>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</sst>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0"/>
    <numFmt numFmtId="166" formatCode="_*\ m/d/yyyy"/>
    <numFmt numFmtId="167" formatCode="_(* #,##0.00%_);_(* \(#,##0.00%\);_(@_)"/>
    <numFmt numFmtId="168" formatCode="_(* #,##0\ &quot;Years&quot;_);_(* \(#,##0\);_(* &quot;-&quot;_);_(@_)"/>
    <numFmt numFmtId="169" formatCode="_(&quot;$&quot;* #,##0.0_);_(&quot;$&quot;* \(#,##0.0\);_(&quot;$&quot;* &quot;-&quot;?_);_(@_)"/>
    <numFmt numFmtId="170" formatCode="_(* #,##0.0_);_(* \(#,##0.0\);_(* &quot;-&quot;?_);_(@_)"/>
    <numFmt numFmtId="171" formatCode="_(* #,##0.0_);_(* \(#,##0.0\);_(* &quot;-&quot;??_);_(@_)"/>
    <numFmt numFmtId="172" formatCode="_([$€-2]* #,##0.00_);_([$€-2]* \(#,##0.00\);_([$€-2]* &quot;-&quot;??_)"/>
    <numFmt numFmtId="173" formatCode="m/d/yy;@"/>
    <numFmt numFmtId="174" formatCode="[$-409]mmm\-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rgb="FF008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i/>
      <sz val="14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rgb="FF000000"/>
      <name val="Arial"/>
      <family val="2"/>
    </font>
    <font>
      <b/>
      <i/>
      <sz val="11"/>
      <color indexed="8"/>
      <name val="Arial"/>
      <family val="2"/>
    </font>
    <font>
      <sz val="10"/>
      <color indexed="8"/>
      <name val="Arial"/>
      <family val="2"/>
    </font>
    <font>
      <sz val="9"/>
      <color rgb="FF000000"/>
      <name val="Arial"/>
      <family val="2"/>
    </font>
    <font>
      <sz val="10"/>
      <name val="Verdana"/>
      <family val="2"/>
    </font>
    <font>
      <i/>
      <sz val="11"/>
      <name val="Georgia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02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8" borderId="0" applyNumberFormat="0" applyBorder="0" applyAlignment="0" applyProtection="0"/>
    <xf numFmtId="0" fontId="32" fillId="9" borderId="12" applyNumberFormat="0" applyAlignment="0" applyProtection="0"/>
    <xf numFmtId="0" fontId="33" fillId="10" borderId="13" applyNumberFormat="0" applyAlignment="0" applyProtection="0"/>
    <xf numFmtId="0" fontId="34" fillId="10" borderId="12" applyNumberFormat="0" applyAlignment="0" applyProtection="0"/>
    <xf numFmtId="0" fontId="35" fillId="0" borderId="14" applyNumberFormat="0" applyFill="0" applyAlignment="0" applyProtection="0"/>
    <xf numFmtId="0" fontId="36" fillId="11" borderId="15" applyNumberFormat="0" applyAlignment="0" applyProtection="0"/>
    <xf numFmtId="0" fontId="37" fillId="0" borderId="0" applyNumberFormat="0" applyFill="0" applyBorder="0" applyAlignment="0" applyProtection="0"/>
    <xf numFmtId="0" fontId="1" fillId="12" borderId="16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7" applyNumberFormat="0" applyFill="0" applyAlignment="0" applyProtection="0"/>
    <xf numFmtId="0" fontId="4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0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4" borderId="0" applyNumberFormat="0" applyBorder="0" applyAlignment="0" applyProtection="0"/>
    <xf numFmtId="0" fontId="40" fillId="28" borderId="0" applyNumberFormat="0" applyBorder="0" applyAlignment="0" applyProtection="0"/>
    <xf numFmtId="0" fontId="40" fillId="32" borderId="0" applyNumberFormat="0" applyBorder="0" applyAlignment="0" applyProtection="0"/>
    <xf numFmtId="0" fontId="40" fillId="36" borderId="0" applyNumberFormat="0" applyBorder="0" applyAlignment="0" applyProtection="0"/>
    <xf numFmtId="0" fontId="40" fillId="13" borderId="0" applyNumberFormat="0" applyBorder="0" applyAlignment="0" applyProtection="0"/>
    <xf numFmtId="0" fontId="40" fillId="17" borderId="0" applyNumberFormat="0" applyBorder="0" applyAlignment="0" applyProtection="0"/>
    <xf numFmtId="0" fontId="40" fillId="21" borderId="0" applyNumberFormat="0" applyBorder="0" applyAlignment="0" applyProtection="0"/>
    <xf numFmtId="0" fontId="40" fillId="25" borderId="0" applyNumberFormat="0" applyBorder="0" applyAlignment="0" applyProtection="0"/>
    <xf numFmtId="0" fontId="40" fillId="29" borderId="0" applyNumberFormat="0" applyBorder="0" applyAlignment="0" applyProtection="0"/>
    <xf numFmtId="0" fontId="40" fillId="33" borderId="0" applyNumberFormat="0" applyBorder="0" applyAlignment="0" applyProtection="0"/>
    <xf numFmtId="0" fontId="30" fillId="7" borderId="0" applyNumberFormat="0" applyBorder="0" applyAlignment="0" applyProtection="0"/>
    <xf numFmtId="0" fontId="34" fillId="10" borderId="12" applyNumberFormat="0" applyAlignment="0" applyProtection="0"/>
    <xf numFmtId="0" fontId="36" fillId="11" borderId="15" applyNumberFormat="0" applyAlignment="0" applyProtection="0"/>
    <xf numFmtId="0" fontId="3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32" fillId="9" borderId="12" applyNumberFormat="0" applyAlignment="0" applyProtection="0"/>
    <xf numFmtId="0" fontId="42" fillId="0" borderId="0">
      <alignment horizontal="center"/>
    </xf>
    <xf numFmtId="0" fontId="35" fillId="0" borderId="14" applyNumberFormat="0" applyFill="0" applyAlignment="0" applyProtection="0"/>
    <xf numFmtId="0" fontId="31" fillId="8" borderId="0" applyNumberFormat="0" applyBorder="0" applyAlignment="0" applyProtection="0"/>
    <xf numFmtId="0" fontId="1" fillId="0" borderId="0"/>
    <xf numFmtId="0" fontId="43" fillId="0" borderId="0"/>
    <xf numFmtId="0" fontId="1" fillId="0" borderId="0"/>
    <xf numFmtId="0" fontId="44" fillId="0" borderId="0"/>
    <xf numFmtId="0" fontId="3" fillId="0" borderId="0"/>
    <xf numFmtId="0" fontId="45" fillId="0" borderId="0"/>
    <xf numFmtId="0" fontId="44" fillId="0" borderId="0"/>
    <xf numFmtId="0" fontId="1" fillId="12" borderId="16" applyNumberFormat="0" applyFont="0" applyAlignment="0" applyProtection="0"/>
    <xf numFmtId="0" fontId="33" fillId="10" borderId="13" applyNumberFormat="0" applyAlignment="0" applyProtection="0"/>
    <xf numFmtId="0" fontId="39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4" fillId="12" borderId="16" applyNumberFormat="0" applyFont="0" applyAlignment="0" applyProtection="0"/>
    <xf numFmtId="0" fontId="4" fillId="12" borderId="16" applyNumberFormat="0" applyFont="0" applyAlignment="0" applyProtection="0"/>
    <xf numFmtId="0" fontId="4" fillId="12" borderId="16" applyNumberFormat="0" applyFont="0" applyAlignment="0" applyProtection="0"/>
    <xf numFmtId="0" fontId="1" fillId="12" borderId="16" applyNumberFormat="0" applyFont="0" applyAlignment="0" applyProtection="0"/>
    <xf numFmtId="43" fontId="3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12" borderId="16" applyNumberFormat="0" applyFont="0" applyAlignment="0" applyProtection="0"/>
    <xf numFmtId="0" fontId="4" fillId="12" borderId="16" applyNumberFormat="0" applyFont="0" applyAlignment="0" applyProtection="0"/>
    <xf numFmtId="0" fontId="4" fillId="12" borderId="16" applyNumberFormat="0" applyFont="0" applyAlignment="0" applyProtection="0"/>
    <xf numFmtId="0" fontId="4" fillId="12" borderId="16" applyNumberFormat="0" applyFont="0" applyAlignment="0" applyProtection="0"/>
    <xf numFmtId="0" fontId="4" fillId="12" borderId="16" applyNumberFormat="0" applyFont="0" applyAlignment="0" applyProtection="0"/>
    <xf numFmtId="0" fontId="4" fillId="12" borderId="16" applyNumberFormat="0" applyFont="0" applyAlignment="0" applyProtection="0"/>
    <xf numFmtId="0" fontId="4" fillId="12" borderId="16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6" fillId="0" borderId="0" applyNumberFormat="0" applyBorder="0" applyAlignment="0"/>
    <xf numFmtId="0" fontId="47" fillId="0" borderId="0" applyNumberFormat="0" applyBorder="0" applyAlignment="0"/>
    <xf numFmtId="0" fontId="48" fillId="0" borderId="0" applyNumberFormat="0" applyBorder="0" applyAlignment="0"/>
    <xf numFmtId="0" fontId="49" fillId="0" borderId="0" applyNumberFormat="0" applyBorder="0" applyAlignment="0"/>
    <xf numFmtId="0" fontId="50" fillId="0" borderId="0" applyNumberFormat="0" applyBorder="0" applyAlignment="0"/>
    <xf numFmtId="0" fontId="51" fillId="0" borderId="0" applyNumberFormat="0" applyBorder="0" applyAlignment="0"/>
    <xf numFmtId="0" fontId="52" fillId="0" borderId="0" applyNumberFormat="0" applyBorder="0" applyAlignment="0"/>
    <xf numFmtId="0" fontId="51" fillId="0" borderId="0" applyNumberFormat="0" applyBorder="0" applyAlignment="0"/>
    <xf numFmtId="0" fontId="50" fillId="0" borderId="0" applyNumberFormat="0" applyBorder="0" applyAlignment="0"/>
    <xf numFmtId="0" fontId="53" fillId="0" borderId="0" applyNumberFormat="0" applyBorder="0" applyAlignment="0"/>
    <xf numFmtId="0" fontId="54" fillId="0" borderId="0" applyNumberFormat="0" applyBorder="0" applyAlignment="0"/>
    <xf numFmtId="0" fontId="44" fillId="0" borderId="0"/>
    <xf numFmtId="41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55" fillId="0" borderId="0" applyFont="0" applyFill="0" applyBorder="0" applyProtection="0">
      <alignment horizontal="center"/>
    </xf>
    <xf numFmtId="0" fontId="56" fillId="0" borderId="19" applyNumberFormat="0" applyFill="0" applyProtection="0">
      <alignment horizontal="center" wrapText="1"/>
    </xf>
    <xf numFmtId="3" fontId="56" fillId="0" borderId="18" applyNumberFormat="0" applyFill="0" applyProtection="0">
      <alignment horizontal="center" wrapText="1"/>
    </xf>
    <xf numFmtId="174" fontId="55" fillId="0" borderId="0" applyFont="0" applyFill="0" applyBorder="0" applyProtection="0">
      <alignment horizontal="center"/>
    </xf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Border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0" fillId="0" borderId="2" xfId="0" applyBorder="1"/>
    <xf numFmtId="0" fontId="2" fillId="0" borderId="3" xfId="0" applyFont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1" fontId="0" fillId="0" borderId="0" xfId="0" applyNumberFormat="1" applyBorder="1" applyProtection="1">
      <protection locked="0"/>
    </xf>
    <xf numFmtId="0" fontId="0" fillId="2" borderId="0" xfId="0" applyFill="1"/>
    <xf numFmtId="0" fontId="2" fillId="2" borderId="0" xfId="0" applyFont="1" applyFill="1" applyBorder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164" fontId="0" fillId="0" borderId="0" xfId="0" applyNumberFormat="1" applyBorder="1" applyProtection="1">
      <protection locked="0"/>
    </xf>
    <xf numFmtId="0" fontId="3" fillId="0" borderId="0" xfId="0" applyFont="1" applyBorder="1" applyProtection="1">
      <protection locked="0"/>
    </xf>
    <xf numFmtId="0" fontId="2" fillId="0" borderId="4" xfId="0" applyFont="1" applyBorder="1" applyProtection="1">
      <protection locked="0"/>
    </xf>
    <xf numFmtId="49" fontId="2" fillId="0" borderId="5" xfId="0" applyNumberFormat="1" applyFont="1" applyBorder="1" applyAlignment="1" applyProtection="1">
      <alignment horizont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5" xfId="0" applyFont="1" applyBorder="1" applyProtection="1">
      <protection locked="0"/>
    </xf>
    <xf numFmtId="0" fontId="0" fillId="0" borderId="0" xfId="0" applyProtection="1">
      <protection locked="0"/>
    </xf>
    <xf numFmtId="2" fontId="4" fillId="0" borderId="0" xfId="1" applyNumberFormat="1" applyFont="1" applyBorder="1"/>
    <xf numFmtId="4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9" fillId="3" borderId="0" xfId="0" applyFont="1" applyFill="1"/>
    <xf numFmtId="0" fontId="10" fillId="0" borderId="6" xfId="0" applyFont="1" applyBorder="1"/>
    <xf numFmtId="0" fontId="8" fillId="0" borderId="6" xfId="0" applyFont="1" applyBorder="1"/>
    <xf numFmtId="0" fontId="8" fillId="3" borderId="6" xfId="0" applyFont="1" applyFill="1" applyBorder="1"/>
    <xf numFmtId="0" fontId="9" fillId="3" borderId="6" xfId="0" applyFont="1" applyFill="1" applyBorder="1"/>
    <xf numFmtId="0" fontId="11" fillId="0" borderId="0" xfId="0" applyFont="1"/>
    <xf numFmtId="0" fontId="7" fillId="4" borderId="0" xfId="0" applyFont="1" applyFill="1" applyBorder="1" applyAlignment="1">
      <alignment horizontal="centerContinuous"/>
    </xf>
    <xf numFmtId="0" fontId="12" fillId="4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centerContinuous"/>
    </xf>
    <xf numFmtId="0" fontId="13" fillId="3" borderId="0" xfId="0" applyFont="1" applyFill="1"/>
    <xf numFmtId="0" fontId="14" fillId="0" borderId="0" xfId="0" applyFont="1"/>
    <xf numFmtId="166" fontId="15" fillId="0" borderId="7" xfId="0" applyNumberFormat="1" applyFont="1" applyBorder="1"/>
    <xf numFmtId="0" fontId="14" fillId="0" borderId="0" xfId="0" applyFont="1" applyFill="1" applyBorder="1"/>
    <xf numFmtId="167" fontId="17" fillId="0" borderId="7" xfId="0" applyNumberFormat="1" applyFont="1" applyBorder="1"/>
    <xf numFmtId="0" fontId="8" fillId="0" borderId="0" xfId="0" quotePrefix="1" applyFont="1"/>
    <xf numFmtId="168" fontId="14" fillId="0" borderId="0" xfId="0" applyNumberFormat="1" applyFont="1" applyBorder="1" applyAlignment="1"/>
    <xf numFmtId="10" fontId="15" fillId="0" borderId="7" xfId="3" applyNumberFormat="1" applyFont="1" applyFill="1" applyBorder="1"/>
    <xf numFmtId="0" fontId="8" fillId="0" borderId="0" xfId="0" applyFont="1" applyFill="1"/>
    <xf numFmtId="0" fontId="12" fillId="0" borderId="0" xfId="0" applyFont="1"/>
    <xf numFmtId="169" fontId="18" fillId="0" borderId="7" xfId="0" applyNumberFormat="1" applyFont="1" applyBorder="1"/>
    <xf numFmtId="0" fontId="12" fillId="3" borderId="0" xfId="0" applyFont="1" applyFill="1"/>
    <xf numFmtId="169" fontId="8" fillId="0" borderId="0" xfId="0" applyNumberFormat="1" applyFont="1"/>
    <xf numFmtId="43" fontId="8" fillId="0" borderId="0" xfId="0" applyNumberFormat="1" applyFont="1"/>
    <xf numFmtId="0" fontId="19" fillId="3" borderId="0" xfId="0" applyFont="1" applyFill="1" applyBorder="1" applyAlignment="1">
      <alignment horizontal="centerContinuous"/>
    </xf>
    <xf numFmtId="0" fontId="8" fillId="0" borderId="0" xfId="0" applyFont="1" applyAlignment="1">
      <alignment horizontal="center"/>
    </xf>
    <xf numFmtId="43" fontId="8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4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6" fontId="8" fillId="0" borderId="5" xfId="0" applyNumberFormat="1" applyFont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66" fontId="14" fillId="0" borderId="5" xfId="0" applyNumberFormat="1" applyFont="1" applyBorder="1" applyAlignment="1">
      <alignment horizontal="center"/>
    </xf>
    <xf numFmtId="0" fontId="15" fillId="0" borderId="0" xfId="0" applyFont="1"/>
    <xf numFmtId="2" fontId="15" fillId="0" borderId="0" xfId="0" applyNumberFormat="1" applyFont="1"/>
    <xf numFmtId="170" fontId="15" fillId="0" borderId="0" xfId="0" applyNumberFormat="1" applyFont="1" applyFill="1"/>
    <xf numFmtId="169" fontId="8" fillId="0" borderId="0" xfId="0" applyNumberFormat="1" applyFont="1" applyFill="1"/>
    <xf numFmtId="166" fontId="15" fillId="0" borderId="0" xfId="0" applyNumberFormat="1" applyFont="1" applyBorder="1"/>
    <xf numFmtId="14" fontId="15" fillId="0" borderId="0" xfId="0" applyNumberFormat="1" applyFont="1" applyFill="1"/>
    <xf numFmtId="169" fontId="8" fillId="3" borderId="0" xfId="0" applyNumberFormat="1" applyFont="1" applyFill="1"/>
    <xf numFmtId="169" fontId="9" fillId="3" borderId="0" xfId="0" applyNumberFormat="1" applyFont="1" applyFill="1"/>
    <xf numFmtId="171" fontId="8" fillId="0" borderId="0" xfId="1" applyNumberFormat="1" applyFont="1"/>
    <xf numFmtId="170" fontId="8" fillId="0" borderId="0" xfId="1" applyNumberFormat="1" applyFont="1" applyFill="1"/>
    <xf numFmtId="170" fontId="8" fillId="3" borderId="0" xfId="1" applyNumberFormat="1" applyFont="1" applyFill="1"/>
    <xf numFmtId="170" fontId="8" fillId="0" borderId="0" xfId="1" applyNumberFormat="1" applyFont="1"/>
    <xf numFmtId="170" fontId="9" fillId="3" borderId="0" xfId="1" applyNumberFormat="1" applyFont="1" applyFill="1"/>
    <xf numFmtId="170" fontId="8" fillId="0" borderId="0" xfId="0" applyNumberFormat="1" applyFont="1"/>
    <xf numFmtId="0" fontId="7" fillId="0" borderId="0" xfId="0" applyFont="1" applyBorder="1"/>
    <xf numFmtId="0" fontId="12" fillId="0" borderId="0" xfId="0" applyFont="1" applyBorder="1"/>
    <xf numFmtId="169" fontId="12" fillId="0" borderId="8" xfId="0" applyNumberFormat="1" applyFont="1" applyBorder="1"/>
    <xf numFmtId="169" fontId="12" fillId="0" borderId="0" xfId="0" applyNumberFormat="1" applyFont="1" applyBorder="1"/>
    <xf numFmtId="169" fontId="12" fillId="0" borderId="8" xfId="0" applyNumberFormat="1" applyFont="1" applyFill="1" applyBorder="1"/>
    <xf numFmtId="0" fontId="12" fillId="3" borderId="0" xfId="0" applyFont="1" applyFill="1" applyBorder="1"/>
    <xf numFmtId="0" fontId="12" fillId="0" borderId="0" xfId="0" applyFont="1" applyFill="1" applyBorder="1"/>
    <xf numFmtId="0" fontId="8" fillId="0" borderId="0" xfId="0" applyFont="1" applyBorder="1"/>
    <xf numFmtId="0" fontId="9" fillId="3" borderId="0" xfId="0" applyFont="1" applyFill="1" applyBorder="1"/>
    <xf numFmtId="166" fontId="21" fillId="0" borderId="0" xfId="0" applyNumberFormat="1" applyFont="1" applyBorder="1" applyAlignment="1">
      <alignment horizontal="center"/>
    </xf>
    <xf numFmtId="0" fontId="22" fillId="0" borderId="0" xfId="0" applyFont="1" applyBorder="1"/>
    <xf numFmtId="0" fontId="22" fillId="0" borderId="0" xfId="0" applyFont="1"/>
    <xf numFmtId="43" fontId="8" fillId="0" borderId="0" xfId="1" applyFont="1" applyFill="1"/>
    <xf numFmtId="43" fontId="8" fillId="0" borderId="0" xfId="1" applyFont="1"/>
    <xf numFmtId="43" fontId="9" fillId="3" borderId="0" xfId="1" applyFont="1" applyFill="1"/>
    <xf numFmtId="43" fontId="23" fillId="0" borderId="0" xfId="1" applyFont="1"/>
    <xf numFmtId="0" fontId="14" fillId="0" borderId="0" xfId="0" applyFont="1" applyAlignment="1">
      <alignment horizontal="left" indent="4"/>
    </xf>
    <xf numFmtId="43" fontId="14" fillId="0" borderId="0" xfId="1" applyFont="1"/>
    <xf numFmtId="44" fontId="8" fillId="0" borderId="0" xfId="0" applyNumberFormat="1" applyFont="1"/>
    <xf numFmtId="0" fontId="11" fillId="0" borderId="2" xfId="0" quotePrefix="1" applyFont="1" applyBorder="1" applyAlignment="1">
      <alignment horizontal="left"/>
    </xf>
    <xf numFmtId="0" fontId="8" fillId="0" borderId="2" xfId="0" applyFont="1" applyBorder="1"/>
    <xf numFmtId="0" fontId="8" fillId="3" borderId="2" xfId="0" applyFont="1" applyFill="1" applyBorder="1"/>
    <xf numFmtId="43" fontId="8" fillId="0" borderId="2" xfId="1" applyFont="1" applyBorder="1"/>
    <xf numFmtId="0" fontId="11" fillId="0" borderId="0" xfId="0" applyFont="1" applyBorder="1" applyAlignment="1">
      <alignment horizontal="left"/>
    </xf>
    <xf numFmtId="0" fontId="23" fillId="0" borderId="0" xfId="0" applyFont="1"/>
    <xf numFmtId="0" fontId="23" fillId="3" borderId="0" xfId="0" applyFont="1" applyFill="1"/>
    <xf numFmtId="43" fontId="23" fillId="0" borderId="0" xfId="1" applyFont="1" applyAlignment="1">
      <alignment horizontal="center"/>
    </xf>
    <xf numFmtId="0" fontId="23" fillId="0" borderId="0" xfId="0" quotePrefix="1" applyFont="1" applyAlignment="1">
      <alignment horizontal="center"/>
    </xf>
    <xf numFmtId="1" fontId="0" fillId="0" borderId="2" xfId="0" applyNumberFormat="1" applyFill="1" applyBorder="1"/>
    <xf numFmtId="2" fontId="4" fillId="2" borderId="0" xfId="1" applyNumberFormat="1" applyFont="1" applyFill="1" applyBorder="1"/>
    <xf numFmtId="0" fontId="2" fillId="0" borderId="4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 wrapText="1"/>
      <protection locked="0"/>
    </xf>
    <xf numFmtId="0" fontId="2" fillId="0" borderId="5" xfId="0" applyFont="1" applyFill="1" applyBorder="1" applyProtection="1">
      <protection locked="0"/>
    </xf>
    <xf numFmtId="43" fontId="14" fillId="0" borderId="0" xfId="1" applyFont="1" applyFill="1"/>
    <xf numFmtId="0" fontId="2" fillId="2" borderId="5" xfId="0" applyFont="1" applyFill="1" applyBorder="1" applyAlignment="1" applyProtection="1">
      <alignment horizontal="center" wrapText="1"/>
      <protection locked="0"/>
    </xf>
    <xf numFmtId="170" fontId="15" fillId="5" borderId="0" xfId="0" applyNumberFormat="1" applyFont="1" applyFill="1"/>
    <xf numFmtId="0" fontId="8" fillId="2" borderId="0" xfId="0" applyFont="1" applyFill="1"/>
    <xf numFmtId="0" fontId="0" fillId="0" borderId="0" xfId="0"/>
    <xf numFmtId="43" fontId="14" fillId="2" borderId="0" xfId="1" applyFont="1" applyFill="1"/>
    <xf numFmtId="43" fontId="8" fillId="2" borderId="0" xfId="1" applyFont="1" applyFill="1"/>
    <xf numFmtId="49" fontId="2" fillId="0" borderId="5" xfId="1" applyNumberFormat="1" applyFont="1" applyFill="1" applyBorder="1" applyAlignment="1" applyProtection="1">
      <alignment horizontal="center" wrapText="1"/>
      <protection locked="0"/>
    </xf>
    <xf numFmtId="43" fontId="8" fillId="37" borderId="0" xfId="1" applyFont="1" applyFill="1"/>
    <xf numFmtId="0" fontId="14" fillId="37" borderId="0" xfId="0" applyFont="1" applyFill="1"/>
    <xf numFmtId="43" fontId="14" fillId="37" borderId="0" xfId="1" applyFont="1" applyFill="1"/>
    <xf numFmtId="43" fontId="8" fillId="37" borderId="0" xfId="1" applyFont="1" applyFill="1" applyAlignment="1">
      <alignment horizontal="right"/>
    </xf>
    <xf numFmtId="0" fontId="0" fillId="37" borderId="0" xfId="0" applyFill="1"/>
    <xf numFmtId="0" fontId="8" fillId="37" borderId="0" xfId="0" applyFont="1" applyFill="1"/>
    <xf numFmtId="43" fontId="8" fillId="37" borderId="0" xfId="0" applyNumberFormat="1" applyFont="1" applyFill="1"/>
    <xf numFmtId="17" fontId="23" fillId="0" borderId="0" xfId="0" applyNumberFormat="1" applyFont="1" applyAlignment="1">
      <alignment horizontal="center"/>
    </xf>
  </cellXfs>
  <cellStyles count="302">
    <cellStyle name="20% - Accent1" xfId="22" builtinId="30" customBuiltin="1"/>
    <cellStyle name="20% - Accent1 2" xfId="45"/>
    <cellStyle name="20% - Accent1 2 2" xfId="96"/>
    <cellStyle name="20% - Accent1 3" xfId="97"/>
    <cellStyle name="20% - Accent1 4" xfId="98"/>
    <cellStyle name="20% - Accent1 5" xfId="140"/>
    <cellStyle name="20% - Accent1 6" xfId="141"/>
    <cellStyle name="20% - Accent1 7" xfId="142"/>
    <cellStyle name="20% - Accent2" xfId="26" builtinId="34" customBuiltin="1"/>
    <cellStyle name="20% - Accent2 2" xfId="46"/>
    <cellStyle name="20% - Accent2 2 2" xfId="99"/>
    <cellStyle name="20% - Accent2 3" xfId="100"/>
    <cellStyle name="20% - Accent2 4" xfId="101"/>
    <cellStyle name="20% - Accent2 5" xfId="143"/>
    <cellStyle name="20% - Accent2 6" xfId="144"/>
    <cellStyle name="20% - Accent2 7" xfId="145"/>
    <cellStyle name="20% - Accent3" xfId="30" builtinId="38" customBuiltin="1"/>
    <cellStyle name="20% - Accent3 2" xfId="47"/>
    <cellStyle name="20% - Accent3 2 2" xfId="102"/>
    <cellStyle name="20% - Accent3 3" xfId="103"/>
    <cellStyle name="20% - Accent3 4" xfId="104"/>
    <cellStyle name="20% - Accent3 5" xfId="146"/>
    <cellStyle name="20% - Accent3 6" xfId="147"/>
    <cellStyle name="20% - Accent3 7" xfId="148"/>
    <cellStyle name="20% - Accent4" xfId="34" builtinId="42" customBuiltin="1"/>
    <cellStyle name="20% - Accent4 2" xfId="48"/>
    <cellStyle name="20% - Accent4 2 2" xfId="105"/>
    <cellStyle name="20% - Accent4 3" xfId="106"/>
    <cellStyle name="20% - Accent4 4" xfId="107"/>
    <cellStyle name="20% - Accent4 5" xfId="149"/>
    <cellStyle name="20% - Accent4 6" xfId="150"/>
    <cellStyle name="20% - Accent4 7" xfId="151"/>
    <cellStyle name="20% - Accent5" xfId="38" builtinId="46" customBuiltin="1"/>
    <cellStyle name="20% - Accent5 2" xfId="49"/>
    <cellStyle name="20% - Accent5 2 2" xfId="108"/>
    <cellStyle name="20% - Accent5 3" xfId="109"/>
    <cellStyle name="20% - Accent5 4" xfId="110"/>
    <cellStyle name="20% - Accent5 5" xfId="152"/>
    <cellStyle name="20% - Accent5 6" xfId="153"/>
    <cellStyle name="20% - Accent5 7" xfId="154"/>
    <cellStyle name="20% - Accent6" xfId="42" builtinId="50" customBuiltin="1"/>
    <cellStyle name="20% - Accent6 2" xfId="50"/>
    <cellStyle name="20% - Accent6 2 2" xfId="111"/>
    <cellStyle name="20% - Accent6 3" xfId="112"/>
    <cellStyle name="20% - Accent6 4" xfId="113"/>
    <cellStyle name="20% - Accent6 5" xfId="155"/>
    <cellStyle name="20% - Accent6 6" xfId="156"/>
    <cellStyle name="20% - Accent6 7" xfId="157"/>
    <cellStyle name="40% - Accent1" xfId="23" builtinId="31" customBuiltin="1"/>
    <cellStyle name="40% - Accent1 2" xfId="51"/>
    <cellStyle name="40% - Accent1 2 2" xfId="114"/>
    <cellStyle name="40% - Accent1 3" xfId="115"/>
    <cellStyle name="40% - Accent1 4" xfId="116"/>
    <cellStyle name="40% - Accent1 5" xfId="158"/>
    <cellStyle name="40% - Accent1 6" xfId="159"/>
    <cellStyle name="40% - Accent1 7" xfId="160"/>
    <cellStyle name="40% - Accent2" xfId="27" builtinId="35" customBuiltin="1"/>
    <cellStyle name="40% - Accent2 2" xfId="52"/>
    <cellStyle name="40% - Accent2 2 2" xfId="117"/>
    <cellStyle name="40% - Accent2 3" xfId="118"/>
    <cellStyle name="40% - Accent2 4" xfId="119"/>
    <cellStyle name="40% - Accent2 5" xfId="161"/>
    <cellStyle name="40% - Accent2 6" xfId="162"/>
    <cellStyle name="40% - Accent2 7" xfId="163"/>
    <cellStyle name="40% - Accent3" xfId="31" builtinId="39" customBuiltin="1"/>
    <cellStyle name="40% - Accent3 2" xfId="53"/>
    <cellStyle name="40% - Accent3 2 2" xfId="120"/>
    <cellStyle name="40% - Accent3 3" xfId="121"/>
    <cellStyle name="40% - Accent3 4" xfId="122"/>
    <cellStyle name="40% - Accent3 5" xfId="164"/>
    <cellStyle name="40% - Accent3 6" xfId="165"/>
    <cellStyle name="40% - Accent3 7" xfId="166"/>
    <cellStyle name="40% - Accent4" xfId="35" builtinId="43" customBuiltin="1"/>
    <cellStyle name="40% - Accent4 2" xfId="54"/>
    <cellStyle name="40% - Accent4 2 2" xfId="123"/>
    <cellStyle name="40% - Accent4 3" xfId="124"/>
    <cellStyle name="40% - Accent4 4" xfId="125"/>
    <cellStyle name="40% - Accent4 5" xfId="167"/>
    <cellStyle name="40% - Accent4 6" xfId="168"/>
    <cellStyle name="40% - Accent4 7" xfId="169"/>
    <cellStyle name="40% - Accent5" xfId="39" builtinId="47" customBuiltin="1"/>
    <cellStyle name="40% - Accent5 2" xfId="55"/>
    <cellStyle name="40% - Accent5 2 2" xfId="126"/>
    <cellStyle name="40% - Accent5 3" xfId="127"/>
    <cellStyle name="40% - Accent5 4" xfId="128"/>
    <cellStyle name="40% - Accent5 5" xfId="170"/>
    <cellStyle name="40% - Accent5 6" xfId="171"/>
    <cellStyle name="40% - Accent5 7" xfId="172"/>
    <cellStyle name="40% - Accent6" xfId="43" builtinId="51" customBuiltin="1"/>
    <cellStyle name="40% - Accent6 2" xfId="56"/>
    <cellStyle name="40% - Accent6 2 2" xfId="129"/>
    <cellStyle name="40% - Accent6 3" xfId="130"/>
    <cellStyle name="40% - Accent6 4" xfId="131"/>
    <cellStyle name="40% - Accent6 5" xfId="173"/>
    <cellStyle name="40% - Accent6 6" xfId="174"/>
    <cellStyle name="40% - Accent6 7" xfId="175"/>
    <cellStyle name="60% - Accent1" xfId="24" builtinId="32" customBuiltin="1"/>
    <cellStyle name="60% - Accent1 2" xfId="57"/>
    <cellStyle name="60% - Accent2" xfId="28" builtinId="36" customBuiltin="1"/>
    <cellStyle name="60% - Accent2 2" xfId="58"/>
    <cellStyle name="60% - Accent3" xfId="32" builtinId="40" customBuiltin="1"/>
    <cellStyle name="60% - Accent3 2" xfId="59"/>
    <cellStyle name="60% - Accent4" xfId="36" builtinId="44" customBuiltin="1"/>
    <cellStyle name="60% - Accent4 2" xfId="60"/>
    <cellStyle name="60% - Accent5" xfId="40" builtinId="48" customBuiltin="1"/>
    <cellStyle name="60% - Accent5 2" xfId="61"/>
    <cellStyle name="60% - Accent6" xfId="44" builtinId="52" customBuiltin="1"/>
    <cellStyle name="60% - Accent6 2" xfId="62"/>
    <cellStyle name="Accent1" xfId="21" builtinId="29" customBuiltin="1"/>
    <cellStyle name="Accent1 2" xfId="63"/>
    <cellStyle name="Accent2" xfId="25" builtinId="33" customBuiltin="1"/>
    <cellStyle name="Accent2 2" xfId="64"/>
    <cellStyle name="Accent3" xfId="29" builtinId="37" customBuiltin="1"/>
    <cellStyle name="Accent3 2" xfId="65"/>
    <cellStyle name="Accent4" xfId="33" builtinId="41" customBuiltin="1"/>
    <cellStyle name="Accent4 2" xfId="66"/>
    <cellStyle name="Accent5" xfId="37" builtinId="45" customBuiltin="1"/>
    <cellStyle name="Accent5 2" xfId="67"/>
    <cellStyle name="Accent6" xfId="41" builtinId="49" customBuiltin="1"/>
    <cellStyle name="Accent6 2" xfId="68"/>
    <cellStyle name="Bad" xfId="10" builtinId="27" customBuiltin="1"/>
    <cellStyle name="Bad 2" xfId="69"/>
    <cellStyle name="Calculation" xfId="14" builtinId="22" customBuiltin="1"/>
    <cellStyle name="Calculation 2" xfId="70"/>
    <cellStyle name="Check Cell" xfId="16" builtinId="23" customBuiltin="1"/>
    <cellStyle name="Check Cell 2" xfId="71"/>
    <cellStyle name="Comma" xfId="1" builtinId="3"/>
    <cellStyle name="Comma [0] 2" xfId="217"/>
    <cellStyle name="Comma [1]" xfId="218"/>
    <cellStyle name="Comma 10" xfId="219"/>
    <cellStyle name="Comma 11" xfId="220"/>
    <cellStyle name="Comma 12" xfId="221"/>
    <cellStyle name="Comma 13" xfId="222"/>
    <cellStyle name="Comma 14" xfId="223"/>
    <cellStyle name="Comma 15" xfId="224"/>
    <cellStyle name="Comma 16" xfId="225"/>
    <cellStyle name="Comma 17" xfId="226"/>
    <cellStyle name="Comma 18" xfId="227"/>
    <cellStyle name="Comma 19" xfId="228"/>
    <cellStyle name="Comma 2" xfId="95"/>
    <cellStyle name="Comma 2 2" xfId="176"/>
    <cellStyle name="Comma 2 3" xfId="177"/>
    <cellStyle name="Comma 20" xfId="229"/>
    <cellStyle name="Comma 21" xfId="230"/>
    <cellStyle name="Comma 22" xfId="231"/>
    <cellStyle name="Comma 23" xfId="232"/>
    <cellStyle name="Comma 24" xfId="233"/>
    <cellStyle name="Comma 25" xfId="234"/>
    <cellStyle name="Comma 26" xfId="235"/>
    <cellStyle name="Comma 27" xfId="236"/>
    <cellStyle name="Comma 28" xfId="237"/>
    <cellStyle name="Comma 29" xfId="238"/>
    <cellStyle name="Comma 3" xfId="139"/>
    <cellStyle name="Comma 3 10" xfId="239"/>
    <cellStyle name="Comma 3 11" xfId="240"/>
    <cellStyle name="Comma 3 12" xfId="241"/>
    <cellStyle name="Comma 3 13" xfId="242"/>
    <cellStyle name="Comma 3 14" xfId="243"/>
    <cellStyle name="Comma 3 15" xfId="244"/>
    <cellStyle name="Comma 3 16" xfId="245"/>
    <cellStyle name="Comma 3 17" xfId="246"/>
    <cellStyle name="Comma 3 18" xfId="247"/>
    <cellStyle name="Comma 3 19" xfId="248"/>
    <cellStyle name="Comma 3 2" xfId="178"/>
    <cellStyle name="Comma 3 20" xfId="249"/>
    <cellStyle name="Comma 3 21" xfId="250"/>
    <cellStyle name="Comma 3 22" xfId="251"/>
    <cellStyle name="Comma 3 23" xfId="252"/>
    <cellStyle name="Comma 3 24" xfId="253"/>
    <cellStyle name="Comma 3 25" xfId="254"/>
    <cellStyle name="Comma 3 26" xfId="255"/>
    <cellStyle name="Comma 3 3" xfId="256"/>
    <cellStyle name="Comma 3 4" xfId="257"/>
    <cellStyle name="Comma 3 5" xfId="258"/>
    <cellStyle name="Comma 3 6" xfId="259"/>
    <cellStyle name="Comma 3 7" xfId="260"/>
    <cellStyle name="Comma 3 8" xfId="261"/>
    <cellStyle name="Comma 3 9" xfId="262"/>
    <cellStyle name="Comma 30" xfId="263"/>
    <cellStyle name="Comma 31" xfId="264"/>
    <cellStyle name="Comma 4" xfId="179"/>
    <cellStyle name="Comma 43" xfId="265"/>
    <cellStyle name="Comma 44" xfId="266"/>
    <cellStyle name="Comma 45" xfId="267"/>
    <cellStyle name="Comma 46" xfId="268"/>
    <cellStyle name="Comma 47" xfId="269"/>
    <cellStyle name="Comma 48" xfId="270"/>
    <cellStyle name="Comma 49" xfId="271"/>
    <cellStyle name="Comma 5" xfId="180"/>
    <cellStyle name="Comma 50" xfId="272"/>
    <cellStyle name="Comma 51" xfId="273"/>
    <cellStyle name="Comma 52" xfId="274"/>
    <cellStyle name="Comma 53" xfId="275"/>
    <cellStyle name="Comma 54" xfId="276"/>
    <cellStyle name="Comma 55" xfId="277"/>
    <cellStyle name="Comma 56" xfId="278"/>
    <cellStyle name="Comma 57" xfId="279"/>
    <cellStyle name="Comma 58" xfId="280"/>
    <cellStyle name="Comma 59" xfId="281"/>
    <cellStyle name="Comma 6" xfId="282"/>
    <cellStyle name="Comma 60" xfId="283"/>
    <cellStyle name="Comma 61" xfId="284"/>
    <cellStyle name="Comma 62" xfId="285"/>
    <cellStyle name="Comma 63" xfId="286"/>
    <cellStyle name="Comma 64" xfId="287"/>
    <cellStyle name="Comma 65" xfId="288"/>
    <cellStyle name="Comma 66" xfId="289"/>
    <cellStyle name="Comma 7" xfId="290"/>
    <cellStyle name="Comma 8" xfId="291"/>
    <cellStyle name="Comma 9" xfId="292"/>
    <cellStyle name="Currency 2" xfId="181"/>
    <cellStyle name="Currency 3" xfId="182"/>
    <cellStyle name="dd/mm/yy" xfId="293"/>
    <cellStyle name="Euro" xfId="183"/>
    <cellStyle name="Explanatory Text" xfId="19" builtinId="53" customBuiltin="1"/>
    <cellStyle name="Explanatory Text 2" xfId="72"/>
    <cellStyle name="Good" xfId="9" builtinId="26" customBuiltin="1"/>
    <cellStyle name="Good 2" xfId="73"/>
    <cellStyle name="Header" xfId="294"/>
    <cellStyle name="Header Merge" xfId="295"/>
    <cellStyle name="Heading 1" xfId="5" builtinId="16" customBuiltin="1"/>
    <cellStyle name="Heading 1 2" xfId="74"/>
    <cellStyle name="Heading 2" xfId="6" builtinId="17" customBuiltin="1"/>
    <cellStyle name="Heading 2 2" xfId="75"/>
    <cellStyle name="Heading 3" xfId="7" builtinId="18" customBuiltin="1"/>
    <cellStyle name="Heading 3 2" xfId="76"/>
    <cellStyle name="Heading 4" xfId="8" builtinId="19" customBuiltin="1"/>
    <cellStyle name="Heading 4 2" xfId="77"/>
    <cellStyle name="Hyperlink 2" xfId="78"/>
    <cellStyle name="Input" xfId="12" builtinId="20" customBuiltin="1"/>
    <cellStyle name="Input 2" xfId="79"/>
    <cellStyle name="JibTitleRow" xfId="80"/>
    <cellStyle name="Linked Cell" xfId="15" builtinId="24" customBuiltin="1"/>
    <cellStyle name="Linked Cell 2" xfId="81"/>
    <cellStyle name="mmm-yy" xfId="296"/>
    <cellStyle name="Neutral" xfId="11" builtinId="28" customBuiltin="1"/>
    <cellStyle name="Neutral 2" xfId="82"/>
    <cellStyle name="Normal" xfId="0" builtinId="0"/>
    <cellStyle name="Normal 10" xfId="184"/>
    <cellStyle name="Normal 11" xfId="185"/>
    <cellStyle name="Normal 12" xfId="216"/>
    <cellStyle name="Normal 13" xfId="94"/>
    <cellStyle name="Normal 2" xfId="2"/>
    <cellStyle name="Normal 2 2" xfId="84"/>
    <cellStyle name="Normal 2 2 2" xfId="186"/>
    <cellStyle name="Normal 2 2_Co830GSEdepletion2010-12 Final" xfId="187"/>
    <cellStyle name="Normal 2 3" xfId="85"/>
    <cellStyle name="Normal 2 4" xfId="188"/>
    <cellStyle name="Normal 2 5" xfId="83"/>
    <cellStyle name="Normal 2 6" xfId="301"/>
    <cellStyle name="Normal 2_BS-830" xfId="189"/>
    <cellStyle name="Normal 29" xfId="190"/>
    <cellStyle name="Normal 3" xfId="86"/>
    <cellStyle name="Normal 3 2" xfId="132"/>
    <cellStyle name="Normal 3 3" xfId="191"/>
    <cellStyle name="Normal 3_BS-830" xfId="192"/>
    <cellStyle name="Normal 4" xfId="87"/>
    <cellStyle name="Normal 4 2" xfId="133"/>
    <cellStyle name="Normal 4 3" xfId="297"/>
    <cellStyle name="Normal 4_BS-830" xfId="193"/>
    <cellStyle name="Normal 5" xfId="88"/>
    <cellStyle name="Normal 6" xfId="89"/>
    <cellStyle name="Normal 6 2" xfId="298"/>
    <cellStyle name="Normal 7" xfId="134"/>
    <cellStyle name="Normal 8" xfId="194"/>
    <cellStyle name="Normal 9" xfId="195"/>
    <cellStyle name="Note" xfId="18" builtinId="10" customBuiltin="1"/>
    <cellStyle name="Note 2" xfId="90"/>
    <cellStyle name="Note 2 2" xfId="135"/>
    <cellStyle name="Note 2 3" xfId="196"/>
    <cellStyle name="Note 2 4" xfId="197"/>
    <cellStyle name="Note 3" xfId="136"/>
    <cellStyle name="Note 3 2" xfId="198"/>
    <cellStyle name="Note 4" xfId="137"/>
    <cellStyle name="Note 5" xfId="138"/>
    <cellStyle name="Note 6" xfId="199"/>
    <cellStyle name="Note 7" xfId="200"/>
    <cellStyle name="Note 8" xfId="201"/>
    <cellStyle name="Note 9" xfId="202"/>
    <cellStyle name="Output" xfId="13" builtinId="21" customBuiltin="1"/>
    <cellStyle name="Output 2" xfId="91"/>
    <cellStyle name="Percent" xfId="3" builtinId="5"/>
    <cellStyle name="Percent 2" xfId="203"/>
    <cellStyle name="Percent 2 2" xfId="204"/>
    <cellStyle name="Percent 3" xfId="299"/>
    <cellStyle name="Percent 4" xfId="300"/>
    <cellStyle name="STYLE1" xfId="205"/>
    <cellStyle name="STYLE2" xfId="206"/>
    <cellStyle name="STYLE3" xfId="207"/>
    <cellStyle name="STYLE4" xfId="208"/>
    <cellStyle name="STYLE5" xfId="209"/>
    <cellStyle name="STYLE5 2" xfId="210"/>
    <cellStyle name="STYLE5_Co830GSEdepletion2010-12 Final" xfId="211"/>
    <cellStyle name="STYLE6" xfId="212"/>
    <cellStyle name="STYLE6 2" xfId="213"/>
    <cellStyle name="STYLE6_Co830GSEdepletion2010-12 Final" xfId="214"/>
    <cellStyle name="STYLE7" xfId="215"/>
    <cellStyle name="Title" xfId="4" builtinId="15" customBuiltin="1"/>
    <cellStyle name="Total" xfId="20" builtinId="25" customBuiltin="1"/>
    <cellStyle name="Total 2" xfId="92"/>
    <cellStyle name="Warning Text" xfId="17" builtinId="11" customBuiltin="1"/>
    <cellStyle name="Warning Text 2" xfId="9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ing\Property%20Accounting\ARO\2012\2012%20Lavaca%20ARO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aca ARO 2012"/>
      <sheetName val="JE Jan"/>
      <sheetName val="JE Feb"/>
      <sheetName val="JE Mar"/>
      <sheetName val="JE Apr"/>
      <sheetName val="JE May"/>
      <sheetName val="JE Jun"/>
      <sheetName val="JE Jul"/>
      <sheetName val="JE Aug"/>
      <sheetName val="JE Sep"/>
      <sheetName val="JE Oct"/>
      <sheetName val="JE Nov"/>
      <sheetName val="JE Dec"/>
      <sheetName val="Inflation"/>
    </sheetNames>
    <sheetDataSet>
      <sheetData sheetId="0" refreshError="1"/>
      <sheetData sheetId="1" refreshError="1">
        <row r="17">
          <cell r="A17">
            <v>347.41333287567249</v>
          </cell>
        </row>
        <row r="18">
          <cell r="A18">
            <v>-347.41333287567249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2" refreshError="1">
        <row r="17">
          <cell r="A17">
            <v>325.99139159401238</v>
          </cell>
        </row>
        <row r="18">
          <cell r="A18">
            <v>-325.99139159401238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3" refreshError="1">
        <row r="17">
          <cell r="A17">
            <v>349.53706406781566</v>
          </cell>
        </row>
        <row r="18">
          <cell r="A18">
            <v>-349.53706406781566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4" refreshError="1">
        <row r="17">
          <cell r="A17">
            <v>339.31123441898671</v>
          </cell>
        </row>
        <row r="18">
          <cell r="A18">
            <v>-339.31123441898671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5" refreshError="1">
        <row r="17">
          <cell r="A17">
            <v>351.70955001190305</v>
          </cell>
        </row>
        <row r="18">
          <cell r="A18">
            <v>-351.70955001190305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6" refreshError="1">
        <row r="17">
          <cell r="A17">
            <v>341.42018806407577</v>
          </cell>
        </row>
        <row r="18">
          <cell r="A18">
            <v>-341.42018806407577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7" refreshError="1">
        <row r="17">
          <cell r="A17">
            <v>353.89558955427492</v>
          </cell>
        </row>
        <row r="18">
          <cell r="A18">
            <v>-353.89558955427492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8" refreshError="1">
        <row r="17">
          <cell r="A17">
            <v>355.01174902974162</v>
          </cell>
        </row>
        <row r="18">
          <cell r="A18">
            <v>-355.01174902974162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9" refreshError="1">
        <row r="17">
          <cell r="A17">
            <v>344.62581775065337</v>
          </cell>
        </row>
        <row r="18">
          <cell r="A18">
            <v>-344.62581775065337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10" refreshError="1">
        <row r="17">
          <cell r="A17">
            <v>357.21839091397123</v>
          </cell>
        </row>
        <row r="18">
          <cell r="A18">
            <v>-357.21839091397123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11" refreshError="1">
        <row r="17">
          <cell r="A17">
            <v>346.76792895809922</v>
          </cell>
        </row>
        <row r="18">
          <cell r="A18">
            <v>-346.76792895809922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12" refreshError="1">
        <row r="17">
          <cell r="A17">
            <v>359.43880048322899</v>
          </cell>
        </row>
        <row r="18">
          <cell r="A18">
            <v>-359.43880048322899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3" sqref="B3"/>
    </sheetView>
  </sheetViews>
  <sheetFormatPr defaultRowHeight="15" x14ac:dyDescent="0.25"/>
  <cols>
    <col min="1" max="1" width="22.7109375" customWidth="1"/>
    <col min="2" max="2" width="11.140625" bestFit="1" customWidth="1"/>
    <col min="7" max="7" width="10.85546875" bestFit="1" customWidth="1"/>
    <col min="13" max="13" width="32.85546875" bestFit="1" customWidth="1"/>
    <col min="17" max="17" width="13.5703125" bestFit="1" customWidth="1"/>
  </cols>
  <sheetData>
    <row r="1" spans="1:16" x14ac:dyDescent="0.25">
      <c r="A1" s="1" t="s">
        <v>0</v>
      </c>
      <c r="B1" s="2"/>
      <c r="C1" s="3"/>
      <c r="M1" s="4"/>
      <c r="N1" s="4"/>
    </row>
    <row r="2" spans="1:16" x14ac:dyDescent="0.25">
      <c r="A2" s="5" t="s">
        <v>1</v>
      </c>
      <c r="B2" s="110" t="s">
        <v>81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6" x14ac:dyDescent="0.25">
      <c r="A3" s="8" t="s">
        <v>2</v>
      </c>
      <c r="B3" s="9">
        <v>41213</v>
      </c>
      <c r="C3" s="10"/>
      <c r="D3" s="11"/>
      <c r="E3" s="11"/>
      <c r="F3" s="11"/>
      <c r="G3" s="11"/>
      <c r="H3" s="11"/>
      <c r="I3" s="4"/>
      <c r="J3" s="4"/>
      <c r="K3" s="11"/>
      <c r="L3" s="11"/>
      <c r="M3" s="11"/>
      <c r="N3" s="11"/>
    </row>
    <row r="4" spans="1:16" x14ac:dyDescent="0.25">
      <c r="A4" s="8" t="s">
        <v>3</v>
      </c>
      <c r="B4" s="12" t="s">
        <v>4</v>
      </c>
      <c r="C4" s="10"/>
      <c r="D4" s="11"/>
      <c r="E4" s="11"/>
      <c r="F4" s="11"/>
      <c r="G4" s="11"/>
      <c r="H4" s="11"/>
      <c r="I4" s="4"/>
      <c r="J4" s="4"/>
      <c r="K4" s="11"/>
      <c r="L4" s="11"/>
      <c r="M4" s="11"/>
      <c r="N4" s="11"/>
    </row>
    <row r="5" spans="1:16" x14ac:dyDescent="0.25">
      <c r="A5" s="8" t="s">
        <v>5</v>
      </c>
      <c r="B5" s="13"/>
      <c r="C5" s="10"/>
      <c r="D5" s="11"/>
      <c r="E5" s="11"/>
      <c r="F5" s="11"/>
      <c r="G5" s="11"/>
      <c r="H5" s="11"/>
      <c r="I5" s="4"/>
      <c r="J5" s="4"/>
      <c r="K5" s="11"/>
      <c r="L5" s="11"/>
      <c r="M5" s="11"/>
      <c r="N5" s="11"/>
    </row>
    <row r="6" spans="1:16" x14ac:dyDescent="0.25">
      <c r="A6" s="8" t="s">
        <v>6</v>
      </c>
      <c r="B6" s="12" t="s">
        <v>4</v>
      </c>
      <c r="C6" s="10"/>
      <c r="D6" s="11"/>
      <c r="E6" s="11"/>
      <c r="F6" s="11"/>
      <c r="G6" s="11"/>
      <c r="H6" s="11"/>
      <c r="I6" s="4"/>
      <c r="J6" s="4"/>
      <c r="K6" s="11"/>
      <c r="L6" s="11"/>
      <c r="M6" s="11"/>
      <c r="N6" s="11"/>
    </row>
    <row r="7" spans="1:16" x14ac:dyDescent="0.25">
      <c r="A7" s="8" t="s">
        <v>7</v>
      </c>
      <c r="B7" s="14" t="s">
        <v>70</v>
      </c>
      <c r="C7" s="15"/>
      <c r="D7" s="16"/>
      <c r="E7" s="16"/>
      <c r="F7" s="11"/>
      <c r="G7" s="11"/>
      <c r="H7" s="11"/>
      <c r="I7" s="4"/>
      <c r="J7" s="4"/>
      <c r="K7" s="11"/>
      <c r="L7" s="11"/>
      <c r="M7" s="11"/>
      <c r="N7" s="11"/>
    </row>
    <row r="8" spans="1:16" x14ac:dyDescent="0.25">
      <c r="A8" s="8" t="s">
        <v>8</v>
      </c>
      <c r="B8" s="17"/>
      <c r="C8" s="10"/>
      <c r="D8" s="11"/>
      <c r="E8" s="11"/>
      <c r="F8" s="11"/>
      <c r="G8" s="11"/>
      <c r="H8" s="11"/>
      <c r="I8" s="4"/>
      <c r="J8" s="4"/>
      <c r="K8" s="11"/>
      <c r="L8" s="11"/>
      <c r="M8" s="11"/>
      <c r="N8" s="11"/>
    </row>
    <row r="9" spans="1:16" x14ac:dyDescent="0.25">
      <c r="A9" s="8" t="s">
        <v>9</v>
      </c>
      <c r="B9" s="12"/>
      <c r="C9" s="10"/>
      <c r="D9" s="11"/>
      <c r="E9" s="11"/>
      <c r="F9" s="11"/>
      <c r="G9" s="11"/>
      <c r="H9" s="11"/>
      <c r="I9" s="4"/>
      <c r="J9" s="4"/>
      <c r="K9" s="18"/>
      <c r="L9" s="11"/>
      <c r="M9" s="11"/>
      <c r="N9" s="11"/>
    </row>
    <row r="10" spans="1:16" x14ac:dyDescent="0.25">
      <c r="A10" s="8" t="s">
        <v>10</v>
      </c>
      <c r="B10" s="12"/>
      <c r="C10" s="10"/>
      <c r="D10" s="11"/>
      <c r="E10" s="11"/>
      <c r="F10" s="11"/>
      <c r="G10" s="11"/>
      <c r="H10" s="11"/>
      <c r="I10" s="4"/>
      <c r="J10" s="4"/>
      <c r="K10" s="11"/>
      <c r="L10" s="11"/>
      <c r="M10" s="11"/>
      <c r="N10" s="11"/>
    </row>
    <row r="11" spans="1:16" x14ac:dyDescent="0.25">
      <c r="A11" s="8" t="s">
        <v>11</v>
      </c>
      <c r="B11" s="12"/>
      <c r="C11" s="10"/>
      <c r="D11" s="11"/>
      <c r="E11" s="11"/>
      <c r="F11" s="11"/>
      <c r="G11" s="11"/>
      <c r="H11" s="11"/>
      <c r="I11" s="4"/>
      <c r="J11" s="4"/>
      <c r="K11" s="18"/>
      <c r="L11" s="11"/>
      <c r="M11" s="11"/>
      <c r="N11" s="11"/>
    </row>
    <row r="12" spans="1:16" x14ac:dyDescent="0.25">
      <c r="A12" s="19" t="s">
        <v>12</v>
      </c>
      <c r="B12" s="12"/>
      <c r="C12" s="10"/>
      <c r="D12" s="11"/>
      <c r="E12" s="11"/>
      <c r="F12" s="11"/>
      <c r="G12" s="11"/>
      <c r="H12" s="11"/>
      <c r="I12" s="4"/>
      <c r="J12" s="4"/>
      <c r="K12" s="18"/>
      <c r="L12" s="11"/>
      <c r="M12" s="11"/>
      <c r="N12" s="11"/>
    </row>
    <row r="13" spans="1:16" x14ac:dyDescent="0.25">
      <c r="A13" s="8" t="s">
        <v>13</v>
      </c>
      <c r="B13" s="12"/>
      <c r="C13" s="10"/>
      <c r="D13" s="11"/>
      <c r="E13" s="11"/>
      <c r="F13" s="11"/>
      <c r="G13" s="11"/>
      <c r="H13" s="11"/>
      <c r="I13" s="4"/>
      <c r="J13" s="4"/>
      <c r="K13" s="18"/>
      <c r="L13" s="11"/>
      <c r="M13" s="11"/>
      <c r="N13" s="11"/>
    </row>
    <row r="14" spans="1:16" x14ac:dyDescent="0.25">
      <c r="A14" s="8"/>
      <c r="B14" s="12"/>
      <c r="C14" s="10"/>
      <c r="D14" s="11"/>
      <c r="E14" s="11"/>
      <c r="F14" s="11"/>
      <c r="G14" s="11"/>
      <c r="H14" s="11"/>
      <c r="I14" s="4"/>
      <c r="J14" s="4"/>
      <c r="K14" s="18"/>
      <c r="L14" s="11"/>
      <c r="M14" s="11"/>
      <c r="N14" s="11"/>
    </row>
    <row r="15" spans="1:16" x14ac:dyDescent="0.25">
      <c r="A15" s="8" t="s">
        <v>14</v>
      </c>
      <c r="B15" s="12"/>
      <c r="C15" s="10"/>
      <c r="D15" s="11"/>
      <c r="E15" s="11"/>
      <c r="F15" s="11"/>
      <c r="G15" s="11"/>
      <c r="H15" s="11"/>
      <c r="I15" s="4"/>
      <c r="J15" s="4"/>
      <c r="K15" s="18"/>
      <c r="L15" s="11"/>
      <c r="M15" s="11"/>
      <c r="N15" s="11"/>
    </row>
    <row r="16" spans="1:16" ht="26.25" x14ac:dyDescent="0.25">
      <c r="A16" s="112" t="s">
        <v>15</v>
      </c>
      <c r="B16" s="20" t="s">
        <v>16</v>
      </c>
      <c r="C16" s="122" t="s">
        <v>17</v>
      </c>
      <c r="D16" s="21" t="s">
        <v>18</v>
      </c>
      <c r="E16" s="21" t="s">
        <v>19</v>
      </c>
      <c r="F16" s="113" t="s">
        <v>20</v>
      </c>
      <c r="G16" s="113" t="s">
        <v>21</v>
      </c>
      <c r="H16" s="21" t="s">
        <v>22</v>
      </c>
      <c r="I16" s="21" t="s">
        <v>23</v>
      </c>
      <c r="J16" s="21" t="s">
        <v>24</v>
      </c>
      <c r="K16" s="21" t="s">
        <v>25</v>
      </c>
      <c r="L16" s="21" t="s">
        <v>26</v>
      </c>
      <c r="M16" s="116" t="s">
        <v>27</v>
      </c>
      <c r="N16" s="114" t="s">
        <v>28</v>
      </c>
      <c r="O16" s="22" t="s">
        <v>29</v>
      </c>
      <c r="P16" s="23"/>
    </row>
    <row r="17" spans="1:16" x14ac:dyDescent="0.25">
      <c r="A17" s="111">
        <f>'FIELDNAME ARO 2012'!BF36</f>
        <v>1123.312962453987</v>
      </c>
      <c r="B17" s="25"/>
      <c r="C17" s="26">
        <v>600.01199999999994</v>
      </c>
      <c r="F17" t="s">
        <v>67</v>
      </c>
      <c r="G17" s="17">
        <f>B3</f>
        <v>41213</v>
      </c>
      <c r="H17" s="27"/>
      <c r="M17" t="s">
        <v>69</v>
      </c>
      <c r="P17" s="27"/>
    </row>
    <row r="18" spans="1:16" x14ac:dyDescent="0.25">
      <c r="A18" s="24">
        <f>'FIELDNAME ARO 2012'!BF37</f>
        <v>-1123.312962453987</v>
      </c>
      <c r="B18" s="25"/>
      <c r="C18" s="26">
        <v>260.01</v>
      </c>
      <c r="G18" s="17">
        <f>G17</f>
        <v>41213</v>
      </c>
      <c r="H18" s="27"/>
      <c r="M18" t="str">
        <f>M17</f>
        <v>OCTOBER 2012 Accretion</v>
      </c>
      <c r="P18" s="27"/>
    </row>
    <row r="19" spans="1:16" x14ac:dyDescent="0.25">
      <c r="A19" s="24"/>
      <c r="B19" s="25"/>
      <c r="C19" s="26"/>
      <c r="G19" s="17"/>
    </row>
    <row r="20" spans="1:16" s="119" customFormat="1" x14ac:dyDescent="0.25">
      <c r="A20" s="24"/>
      <c r="B20" s="25"/>
      <c r="C20" s="26"/>
      <c r="G20" s="17"/>
    </row>
    <row r="21" spans="1:16" s="119" customFormat="1" x14ac:dyDescent="0.25">
      <c r="A21" s="24"/>
      <c r="B21" s="25"/>
      <c r="C21" s="26"/>
      <c r="G21" s="17"/>
    </row>
    <row r="22" spans="1:16" s="119" customFormat="1" x14ac:dyDescent="0.25">
      <c r="A22" s="24"/>
      <c r="B22" s="25"/>
      <c r="C22" s="26"/>
      <c r="G22" s="17"/>
    </row>
    <row r="23" spans="1:16" x14ac:dyDescent="0.25">
      <c r="A23" s="1" t="s">
        <v>30</v>
      </c>
      <c r="B23" s="25"/>
      <c r="C23" s="28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Y55"/>
  <sheetViews>
    <sheetView showGridLines="0" zoomScaleNormal="100" zoomScaleSheetLayoutView="115" workbookViewId="0">
      <pane xSplit="13" ySplit="19" topLeftCell="N20" activePane="bottomRight" state="frozen"/>
      <selection pane="topRight" activeCell="N1" sqref="N1"/>
      <selection pane="bottomLeft" activeCell="A20" sqref="A20"/>
      <selection pane="bottomRight" activeCell="B3" sqref="B3"/>
    </sheetView>
  </sheetViews>
  <sheetFormatPr defaultRowHeight="12.75" customHeight="1" x14ac:dyDescent="0.2"/>
  <cols>
    <col min="1" max="1" width="2" style="30" bestFit="1" customWidth="1"/>
    <col min="2" max="2" width="24.7109375" style="42" customWidth="1"/>
    <col min="3" max="3" width="0.85546875" style="30" customWidth="1"/>
    <col min="4" max="4" width="11.7109375" style="30" customWidth="1"/>
    <col min="5" max="5" width="8.7109375" style="30" customWidth="1"/>
    <col min="6" max="6" width="11.7109375" style="30" customWidth="1"/>
    <col min="7" max="7" width="0.85546875" style="30" customWidth="1"/>
    <col min="8" max="8" width="11.7109375" style="30" customWidth="1"/>
    <col min="9" max="9" width="0.85546875" style="30" customWidth="1"/>
    <col min="10" max="10" width="11.7109375" style="30" customWidth="1"/>
    <col min="11" max="11" width="0.85546875" style="30" customWidth="1"/>
    <col min="12" max="12" width="11.7109375" style="30" customWidth="1"/>
    <col min="13" max="13" width="0.85546875" style="30" customWidth="1"/>
    <col min="14" max="14" width="11.7109375" style="30" hidden="1" customWidth="1"/>
    <col min="15" max="15" width="0.85546875" style="31" hidden="1" customWidth="1"/>
    <col min="16" max="16" width="10.7109375" style="30" hidden="1" customWidth="1"/>
    <col min="17" max="17" width="0.85546875" style="30" hidden="1" customWidth="1"/>
    <col min="18" max="18" width="10.7109375" style="30" hidden="1" customWidth="1"/>
    <col min="19" max="19" width="0.85546875" style="30" hidden="1" customWidth="1"/>
    <col min="20" max="20" width="10.7109375" style="30" hidden="1" customWidth="1"/>
    <col min="21" max="21" width="0.85546875" style="30" hidden="1" customWidth="1"/>
    <col min="22" max="22" width="10.7109375" style="30" hidden="1" customWidth="1"/>
    <col min="23" max="23" width="0.85546875" style="30" hidden="1" customWidth="1"/>
    <col min="24" max="24" width="10.7109375" style="30" hidden="1" customWidth="1"/>
    <col min="25" max="25" width="0.85546875" style="30" hidden="1" customWidth="1"/>
    <col min="26" max="26" width="10.7109375" style="30" hidden="1" customWidth="1"/>
    <col min="27" max="27" width="0.85546875" style="30" hidden="1" customWidth="1"/>
    <col min="28" max="28" width="11.5703125" style="30" hidden="1" customWidth="1"/>
    <col min="29" max="29" width="0.85546875" style="30" hidden="1" customWidth="1"/>
    <col min="30" max="30" width="11.5703125" style="30" hidden="1" customWidth="1"/>
    <col min="31" max="31" width="0.85546875" style="30" hidden="1" customWidth="1"/>
    <col min="32" max="32" width="11.5703125" style="30" hidden="1" customWidth="1"/>
    <col min="33" max="33" width="0.85546875" style="30" hidden="1" customWidth="1"/>
    <col min="34" max="34" width="11.7109375" style="30" hidden="1" customWidth="1"/>
    <col min="35" max="35" width="0.85546875" style="30" hidden="1" customWidth="1"/>
    <col min="36" max="36" width="11.7109375" style="30" hidden="1" customWidth="1"/>
    <col min="37" max="37" width="0.85546875" style="30" hidden="1" customWidth="1"/>
    <col min="38" max="38" width="11.7109375" style="30" hidden="1" customWidth="1"/>
    <col min="39" max="39" width="0.85546875" style="32" customWidth="1"/>
    <col min="40" max="40" width="11.5703125" style="30" customWidth="1"/>
    <col min="41" max="41" width="0.85546875" style="30" customWidth="1"/>
    <col min="42" max="42" width="11.7109375" style="30" bestFit="1" customWidth="1"/>
    <col min="43" max="43" width="0.85546875" style="30" customWidth="1"/>
    <col min="44" max="44" width="11.7109375" style="30" bestFit="1" customWidth="1"/>
    <col min="45" max="45" width="0.85546875" style="30" customWidth="1"/>
    <col min="46" max="46" width="11.7109375" style="30" bestFit="1" customWidth="1"/>
    <col min="47" max="47" width="0.85546875" style="30" customWidth="1"/>
    <col min="48" max="48" width="11.7109375" style="30" bestFit="1" customWidth="1"/>
    <col min="49" max="49" width="0.85546875" style="30" customWidth="1"/>
    <col min="50" max="50" width="11.7109375" style="30" bestFit="1" customWidth="1"/>
    <col min="51" max="51" width="0.85546875" style="30" customWidth="1"/>
    <col min="52" max="52" width="11.7109375" style="30" bestFit="1" customWidth="1"/>
    <col min="53" max="53" width="0.85546875" style="30" customWidth="1"/>
    <col min="54" max="54" width="11.7109375" style="30" bestFit="1" customWidth="1"/>
    <col min="55" max="55" width="0.85546875" style="30" customWidth="1"/>
    <col min="56" max="56" width="11.7109375" style="30" bestFit="1" customWidth="1"/>
    <col min="57" max="57" width="0.85546875" style="30" customWidth="1"/>
    <col min="58" max="58" width="11.85546875" style="30" bestFit="1" customWidth="1"/>
    <col min="59" max="59" width="0.85546875" style="30" customWidth="1"/>
    <col min="60" max="60" width="11.85546875" style="30" bestFit="1" customWidth="1"/>
    <col min="61" max="61" width="0.85546875" style="30" customWidth="1"/>
    <col min="62" max="62" width="11.85546875" style="30" bestFit="1" customWidth="1"/>
    <col min="63" max="63" width="0.85546875" style="32" customWidth="1"/>
    <col min="64" max="64" width="11.7109375" style="30" bestFit="1" customWidth="1"/>
    <col min="65" max="65" width="9.7109375" style="30" bestFit="1" customWidth="1"/>
    <col min="66" max="66" width="10.5703125" style="30" bestFit="1" customWidth="1"/>
    <col min="67" max="67" width="12.5703125" style="30" bestFit="1" customWidth="1"/>
    <col min="68" max="16384" width="9.140625" style="30"/>
  </cols>
  <sheetData>
    <row r="2" spans="2:63" ht="12.75" customHeight="1" x14ac:dyDescent="0.2">
      <c r="B2" s="29" t="s">
        <v>80</v>
      </c>
    </row>
    <row r="3" spans="2:63" ht="12.75" customHeight="1" thickBot="1" x14ac:dyDescent="0.25">
      <c r="B3" s="33" t="s">
        <v>31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5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6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6"/>
    </row>
    <row r="4" spans="2:63" ht="12.75" customHeight="1" x14ac:dyDescent="0.2">
      <c r="B4" s="37" t="s">
        <v>32</v>
      </c>
    </row>
    <row r="6" spans="2:63" ht="12.75" customHeight="1" x14ac:dyDescent="0.25">
      <c r="B6" s="38" t="s">
        <v>33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40"/>
      <c r="P6" s="39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 s="41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 s="41"/>
    </row>
    <row r="8" spans="2:63" ht="12.75" customHeight="1" x14ac:dyDescent="0.2">
      <c r="B8" s="42" t="s">
        <v>34</v>
      </c>
      <c r="F8" s="43">
        <v>40908</v>
      </c>
    </row>
    <row r="9" spans="2:63" ht="12.75" customHeight="1" x14ac:dyDescent="0.2">
      <c r="B9" s="44" t="s">
        <v>35</v>
      </c>
      <c r="F9" s="45">
        <v>0.05</v>
      </c>
    </row>
    <row r="10" spans="2:63" ht="12.75" customHeight="1" x14ac:dyDescent="0.2">
      <c r="E10" s="46"/>
      <c r="F10" s="47"/>
      <c r="H10" s="47">
        <v>10</v>
      </c>
      <c r="J10" s="47">
        <v>20</v>
      </c>
      <c r="L10" s="47">
        <v>30</v>
      </c>
    </row>
    <row r="11" spans="2:63" ht="12.75" customHeight="1" x14ac:dyDescent="0.2">
      <c r="B11" s="44" t="s">
        <v>36</v>
      </c>
      <c r="F11" s="48">
        <v>3.7216699999999998E-2</v>
      </c>
      <c r="G11" s="49"/>
      <c r="H11" s="48">
        <v>4.7816699999999997E-2</v>
      </c>
      <c r="I11" s="49"/>
      <c r="J11" s="48">
        <v>5.4616699999999997E-2</v>
      </c>
      <c r="K11" s="49"/>
      <c r="L11" s="48">
        <v>5.7816699999999999E-2</v>
      </c>
    </row>
    <row r="13" spans="2:63" ht="12.75" customHeight="1" x14ac:dyDescent="0.2">
      <c r="B13" s="29" t="s">
        <v>37</v>
      </c>
      <c r="C13" s="50"/>
      <c r="D13" s="50"/>
      <c r="E13" s="50"/>
      <c r="F13" s="51">
        <v>70000</v>
      </c>
      <c r="M13" s="50"/>
      <c r="N13" s="50"/>
      <c r="O13" s="52"/>
      <c r="AD13" s="53"/>
      <c r="AF13" s="54"/>
      <c r="AH13" s="54"/>
    </row>
    <row r="15" spans="2:63" ht="12.75" customHeight="1" x14ac:dyDescent="0.2">
      <c r="B15" s="38" t="s">
        <v>38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0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55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55"/>
    </row>
    <row r="17" spans="1:63" ht="12.75" customHeight="1" x14ac:dyDescent="0.2">
      <c r="E17" s="56" t="s">
        <v>39</v>
      </c>
      <c r="K17" s="56"/>
      <c r="L17" s="56"/>
      <c r="N17" s="56"/>
      <c r="P17" s="56"/>
      <c r="R17" s="56"/>
      <c r="T17" s="56"/>
      <c r="V17" s="56"/>
      <c r="X17" s="56"/>
      <c r="Z17" s="56"/>
      <c r="AB17" s="56"/>
      <c r="AD17" s="56"/>
      <c r="AF17" s="56"/>
      <c r="AH17" s="56"/>
      <c r="AJ17" s="56"/>
      <c r="AL17" s="57"/>
      <c r="AN17" s="57"/>
      <c r="AP17" s="57"/>
      <c r="AR17" s="57"/>
      <c r="AT17" s="57"/>
      <c r="AV17" s="57"/>
      <c r="AX17" s="57"/>
      <c r="AZ17" s="57"/>
      <c r="BB17" s="57"/>
      <c r="BD17" s="57"/>
      <c r="BF17" s="57"/>
      <c r="BH17" s="57"/>
      <c r="BJ17" s="57"/>
    </row>
    <row r="18" spans="1:63" ht="12.75" customHeight="1" x14ac:dyDescent="0.2">
      <c r="B18" s="58"/>
      <c r="C18" s="56"/>
      <c r="D18" s="59" t="s">
        <v>40</v>
      </c>
      <c r="E18" s="56" t="s">
        <v>41</v>
      </c>
      <c r="F18" s="56" t="s">
        <v>42</v>
      </c>
      <c r="G18" s="56"/>
      <c r="H18" s="56" t="s">
        <v>43</v>
      </c>
      <c r="J18" s="56"/>
      <c r="K18" s="59"/>
      <c r="L18" s="59" t="s">
        <v>44</v>
      </c>
      <c r="M18" s="56"/>
      <c r="N18" s="60" t="s">
        <v>45</v>
      </c>
      <c r="O18" s="61"/>
      <c r="P18" s="60" t="s">
        <v>45</v>
      </c>
      <c r="Q18" s="56"/>
      <c r="R18" s="60" t="s">
        <v>45</v>
      </c>
      <c r="T18" s="60" t="s">
        <v>45</v>
      </c>
      <c r="V18" s="60" t="s">
        <v>45</v>
      </c>
      <c r="X18" s="60" t="s">
        <v>45</v>
      </c>
      <c r="Z18" s="60" t="s">
        <v>45</v>
      </c>
      <c r="AB18" s="60" t="s">
        <v>45</v>
      </c>
      <c r="AD18" s="60" t="s">
        <v>45</v>
      </c>
      <c r="AF18" s="60" t="s">
        <v>45</v>
      </c>
      <c r="AH18" s="60" t="s">
        <v>45</v>
      </c>
      <c r="AJ18" s="60" t="s">
        <v>45</v>
      </c>
      <c r="AL18" s="60" t="s">
        <v>45</v>
      </c>
      <c r="AN18" s="60" t="s">
        <v>45</v>
      </c>
      <c r="AP18" s="60" t="s">
        <v>45</v>
      </c>
      <c r="AR18" s="60" t="s">
        <v>45</v>
      </c>
      <c r="AT18" s="60" t="s">
        <v>45</v>
      </c>
      <c r="AV18" s="60" t="s">
        <v>45</v>
      </c>
      <c r="AX18" s="60" t="s">
        <v>45</v>
      </c>
      <c r="AZ18" s="60" t="s">
        <v>45</v>
      </c>
      <c r="BB18" s="60" t="s">
        <v>45</v>
      </c>
      <c r="BD18" s="60" t="s">
        <v>45</v>
      </c>
      <c r="BF18" s="60" t="s">
        <v>45</v>
      </c>
      <c r="BH18" s="60" t="s">
        <v>45</v>
      </c>
      <c r="BJ18" s="60" t="s">
        <v>45</v>
      </c>
    </row>
    <row r="19" spans="1:63" x14ac:dyDescent="0.2">
      <c r="B19" s="62" t="s">
        <v>46</v>
      </c>
      <c r="C19" s="56"/>
      <c r="D19" s="63" t="s">
        <v>47</v>
      </c>
      <c r="E19" s="64" t="s">
        <v>48</v>
      </c>
      <c r="F19" s="63" t="s">
        <v>49</v>
      </c>
      <c r="G19" s="56"/>
      <c r="H19" s="63" t="s">
        <v>50</v>
      </c>
      <c r="I19" s="56"/>
      <c r="J19" s="63" t="s">
        <v>51</v>
      </c>
      <c r="K19" s="60"/>
      <c r="L19" s="60" t="s">
        <v>52</v>
      </c>
      <c r="M19" s="56"/>
      <c r="N19" s="65">
        <v>40543</v>
      </c>
      <c r="O19" s="66"/>
      <c r="P19" s="67">
        <v>40574</v>
      </c>
      <c r="Q19" s="59"/>
      <c r="R19" s="67">
        <f>+EOMONTH(P$19,1)</f>
        <v>40602</v>
      </c>
      <c r="S19" s="42"/>
      <c r="T19" s="67">
        <f>+EOMONTH(R$19,1)</f>
        <v>40633</v>
      </c>
      <c r="U19" s="42"/>
      <c r="V19" s="67">
        <f>+EOMONTH(T$19,1)</f>
        <v>40663</v>
      </c>
      <c r="W19" s="42"/>
      <c r="X19" s="67">
        <f>+EOMONTH(V$19,1)</f>
        <v>40694</v>
      </c>
      <c r="Y19" s="42"/>
      <c r="Z19" s="67">
        <f>+EOMONTH(X$19,1)</f>
        <v>40724</v>
      </c>
      <c r="AA19" s="42"/>
      <c r="AB19" s="67">
        <f>+EOMONTH(Z$19,1)</f>
        <v>40755</v>
      </c>
      <c r="AC19" s="42"/>
      <c r="AD19" s="67">
        <f>+EOMONTH(AB$19,1)</f>
        <v>40786</v>
      </c>
      <c r="AE19" s="42"/>
      <c r="AF19" s="67">
        <f>+EOMONTH(AD$19,1)</f>
        <v>40816</v>
      </c>
      <c r="AG19" s="42"/>
      <c r="AH19" s="67">
        <f>+EOMONTH(AF$19,1)</f>
        <v>40847</v>
      </c>
      <c r="AI19" s="42"/>
      <c r="AJ19" s="67">
        <f>+EOMONTH(AH$19,1)</f>
        <v>40877</v>
      </c>
      <c r="AK19" s="42"/>
      <c r="AL19" s="67">
        <f>+EOMONTH(AJ$19,1)</f>
        <v>40908</v>
      </c>
      <c r="AN19" s="67">
        <f>+EOMONTH(AL$19,1)</f>
        <v>40939</v>
      </c>
      <c r="AO19" s="42"/>
      <c r="AP19" s="67">
        <f t="shared" ref="AP19" si="0">+EOMONTH(AN$19,1)</f>
        <v>40968</v>
      </c>
      <c r="AQ19" s="42"/>
      <c r="AR19" s="67">
        <f t="shared" ref="AR19" si="1">+EOMONTH(AP$19,1)</f>
        <v>40999</v>
      </c>
      <c r="AS19" s="42"/>
      <c r="AT19" s="67">
        <f t="shared" ref="AT19" si="2">+EOMONTH(AR$19,1)</f>
        <v>41029</v>
      </c>
      <c r="AU19" s="42"/>
      <c r="AV19" s="67">
        <f t="shared" ref="AV19" si="3">+EOMONTH(AT$19,1)</f>
        <v>41060</v>
      </c>
      <c r="AW19" s="42"/>
      <c r="AX19" s="67">
        <f t="shared" ref="AX19" si="4">+EOMONTH(AV$19,1)</f>
        <v>41090</v>
      </c>
      <c r="AY19" s="42"/>
      <c r="AZ19" s="67">
        <f t="shared" ref="AZ19" si="5">+EOMONTH(AX$19,1)</f>
        <v>41121</v>
      </c>
      <c r="BA19" s="42"/>
      <c r="BB19" s="67">
        <f t="shared" ref="BB19" si="6">+EOMONTH(AZ$19,1)</f>
        <v>41152</v>
      </c>
      <c r="BC19" s="42"/>
      <c r="BD19" s="67">
        <f t="shared" ref="BD19" si="7">+EOMONTH(BB$19,1)</f>
        <v>41182</v>
      </c>
      <c r="BE19" s="42"/>
      <c r="BF19" s="67">
        <f t="shared" ref="BF19" si="8">+EOMONTH(BD$19,1)</f>
        <v>41213</v>
      </c>
      <c r="BG19" s="42"/>
      <c r="BH19" s="67">
        <f t="shared" ref="BH19" si="9">+EOMONTH(BF$19,1)</f>
        <v>41243</v>
      </c>
      <c r="BI19" s="42"/>
      <c r="BJ19" s="67">
        <f t="shared" ref="BJ19" si="10">+EOMONTH(BH$19,1)</f>
        <v>41274</v>
      </c>
    </row>
    <row r="20" spans="1:63" ht="12.75" customHeight="1" x14ac:dyDescent="0.2">
      <c r="B20" s="62"/>
    </row>
    <row r="21" spans="1:63" ht="12.75" customHeight="1" x14ac:dyDescent="0.2">
      <c r="A21" s="46"/>
      <c r="B21" s="30" t="s">
        <v>71</v>
      </c>
      <c r="D21" s="68" t="s">
        <v>53</v>
      </c>
      <c r="E21" s="69">
        <v>0.5</v>
      </c>
      <c r="F21" s="70">
        <v>4.5972602739726032</v>
      </c>
      <c r="G21" s="70"/>
      <c r="H21" s="71">
        <f>+(($F$13*(1+$F$9)^$F21)*E21)</f>
        <v>43800.671354189129</v>
      </c>
      <c r="I21" s="72"/>
      <c r="J21" s="53">
        <f>+$H21/(1+IF($F21&lt;$H$10,$F$11,IF(AND($F21&gt;=$H$10,$F21&lt;$J$10),$H$11,IF(AND($F21&gt;=$J$10,$F21&lt;$L$10),$J$11,IF($F21&gt;$L$10,$L$11,0)))))^$F21</f>
        <v>37027.512938247783</v>
      </c>
      <c r="K21" s="53"/>
      <c r="L21" s="73">
        <v>40693</v>
      </c>
      <c r="N21" s="71">
        <f t="shared" ref="N21:N26" si="11">+IF(N$19&gt;=$L21,$H21/(1+IF($F21&lt;$H$10,$F$11,IF(AND($F21&gt;=$H$10,$F21&lt;$J$10),$H$11,IF(AND($F21&gt;=$J$10,$F21&lt;$L$10),$J$11,IF($F21&gt;$L$10,$L$11,0)))))^($F21+($AL$19-N$19)/365),0)</f>
        <v>0</v>
      </c>
      <c r="O21" s="74"/>
      <c r="P21" s="71">
        <f t="shared" ref="P21:P26" si="12">+IF(P$19&gt;=$L21,$H21/(1+IF($F21&lt;$H$10,$F$11,IF(AND($F21&gt;=$H$10,$F21&lt;$J$10),$H$11,IF(AND($F21&gt;=$J$10,$F21&lt;$L$10),$J$11,IF($F21&gt;$L$10,$L$11,0)))))^($F21+($AL$19-P$19)/365),0)</f>
        <v>0</v>
      </c>
      <c r="Q21" s="53"/>
      <c r="R21" s="71">
        <f t="shared" ref="R21:R26" si="13">+IF(R$19&gt;=$L21,$H21/(1+IF($F21&lt;$H$10,$F$11,IF(AND($F21&gt;=$H$10,$F21&lt;$J$10),$H$11,IF(AND($F21&gt;=$J$10,$F21&lt;$L$10),$J$11,IF($F21&gt;$L$10,$L$11,0)))))^($F21+($AL$19-R$19)/365),0)</f>
        <v>0</v>
      </c>
      <c r="S21" s="53"/>
      <c r="T21" s="71">
        <f t="shared" ref="T21:T26" si="14">+IF(T$19&gt;=$L21,$H21/(1+IF($F21&lt;$H$10,$F$11,IF(AND($F21&gt;=$H$10,$F21&lt;$J$10),$H$11,IF(AND($F21&gt;=$J$10,$F21&lt;$L$10),$J$11,IF($F21&gt;$L$10,$L$11,0)))))^($F21+($AL$19-T$19)/365),0)</f>
        <v>0</v>
      </c>
      <c r="U21" s="53"/>
      <c r="V21" s="71">
        <f t="shared" ref="V21:V26" si="15">+IF(V$19&gt;=$L21,$H21/(1+IF($F21&lt;$H$10,$F$11,IF(AND($F21&gt;=$H$10,$F21&lt;$J$10),$H$11,IF(AND($F21&gt;=$J$10,$F21&lt;$L$10),$J$11,IF($F21&gt;$L$10,$L$11,0)))))^($F21+($AL$19-V$19)/365),0)</f>
        <v>0</v>
      </c>
      <c r="W21" s="53"/>
      <c r="X21" s="71">
        <f t="shared" ref="X21:X26" si="16">+IF(X$19&gt;=$L21,$H21/(1+IF($F21&lt;$H$10,$F$11,IF(AND($F21&gt;=$H$10,$F21&lt;$J$10),$H$11,IF(AND($F21&gt;=$J$10,$F21&lt;$L$10),$J$11,IF($F21&gt;$L$10,$L$11,0)))))^($F21+($AL$19-X$19)/365),0)</f>
        <v>36242.673981883381</v>
      </c>
      <c r="Y21" s="53"/>
      <c r="Z21" s="71">
        <f t="shared" ref="Z21:Z26" si="17">+IF(Z$19&gt;=$L21,$H21/(1+IF($F21&lt;$H$10,$F$11,IF(AND($F21&gt;=$H$10,$F21&lt;$J$10),$H$11,IF(AND($F21&gt;=$J$10,$F21&lt;$L$10),$J$11,IF($F21&gt;$L$10,$L$11,0)))))^($F21+($AL$19-Z$19)/365),0)</f>
        <v>36351.687387376602</v>
      </c>
      <c r="AA21" s="53"/>
      <c r="AB21" s="71">
        <f t="shared" ref="AB21:AB26" si="18">+IF(AB$19&gt;=$L21,$H21/(1+IF($F21&lt;$H$10,$F$11,IF(AND($F21&gt;=$H$10,$F21&lt;$J$10),$H$11,IF(AND($F21&gt;=$J$10,$F21&lt;$L$10),$J$11,IF($F21&gt;$L$10,$L$11,0)))))^($F21+($AL$19-AB$19)/365),0)</f>
        <v>36464.67906026815</v>
      </c>
      <c r="AC21" s="53"/>
      <c r="AD21" s="71">
        <f t="shared" ref="AD21:AD26" si="19">+IF(AD$19&gt;=$L21,$H21/(1+IF($F21&lt;$H$10,$F$11,IF(AND($F21&gt;=$H$10,$F21&lt;$J$10),$H$11,IF(AND($F21&gt;=$J$10,$F21&lt;$L$10),$J$11,IF($F21&gt;$L$10,$L$11,0)))))^($F21+($AL$19-AD$19)/365),0)</f>
        <v>36578.021944315507</v>
      </c>
      <c r="AE21" s="53"/>
      <c r="AF21" s="71">
        <f t="shared" ref="AF21:AF26" si="20">+IF(AF$19&gt;=$L21,$H21/(1+IF($F21&lt;$H$10,$F$11,IF(AND($F21&gt;=$H$10,$F21&lt;$J$10),$H$11,IF(AND($F21&gt;=$J$10,$F21&lt;$L$10),$J$11,IF($F21&gt;$L$10,$L$11,0)))))^($F21+($AL$19-AF$19)/365),0)</f>
        <v>36688.04403430668</v>
      </c>
      <c r="AG21" s="53"/>
      <c r="AH21" s="71">
        <f t="shared" ref="AH21:AH26" si="21">+IF(AH$19&gt;=$L21,$H21/(1+IF($F21&lt;$H$10,$F$11,IF(AND($F21&gt;=$H$10,$F21&lt;$J$10),$H$11,IF(AND($F21&gt;=$J$10,$F21&lt;$L$10),$J$11,IF($F21&gt;$L$10,$L$11,0)))))^($F21+($AL$19-AH$19)/365),0)</f>
        <v>36802.0812020007</v>
      </c>
      <c r="AI21" s="53"/>
      <c r="AJ21" s="71">
        <f t="shared" ref="AJ21:AJ26" si="22">+IF(AJ$19&gt;=$L21,$H21/(1+IF($F21&lt;$H$10,$F$11,IF(AND($F21&gt;=$H$10,$F21&lt;$J$10),$H$11,IF(AND($F21&gt;=$J$10,$F21&lt;$L$10),$J$11,IF($F21&gt;$L$10,$L$11,0)))))^($F21+($AL$19-AJ$19)/365),0)</f>
        <v>36912.777234061519</v>
      </c>
      <c r="AK21" s="53"/>
      <c r="AL21" s="53">
        <f>+J21</f>
        <v>37027.512938247783</v>
      </c>
      <c r="AM21" s="75"/>
      <c r="AN21" s="71">
        <f>+IF(AN$19&gt;=$L21,$H21/(1+IF($F21&lt;$H$10,$F$11,IF(AND($F21&gt;=$H$10,$F21&lt;$J$10),$H$11,IF(AND($F21&gt;=$J$10,$F21&lt;$L$10),$J$11,IF($F21&gt;$L$10,$L$11,0)))))^($F21+($AL$19-AN$19)/365),0)</f>
        <v>37142.605274549038</v>
      </c>
      <c r="AO21" s="53"/>
      <c r="AP21" s="71">
        <f t="shared" ref="AP21:AP28" si="23">+IF(AP$19&gt;=$L21,$H21/(1+IF($F21&lt;$H$10,$F$11,IF(AND($F21&gt;=$H$10,$F21&lt;$J$10),$H$11,IF(AND($F21&gt;=$J$10,$F21&lt;$L$10),$J$11,IF($F21&gt;$L$10,$L$11,0)))))^($F21+($AL$19-AP$19)/365),0)</f>
        <v>37250.596142288145</v>
      </c>
      <c r="AQ21" s="53"/>
      <c r="AR21" s="71">
        <f t="shared" ref="AR21:AR28" si="24">+IF(AR$19&gt;=$L21,$H21/(1+IF($F21&lt;$H$10,$F$11,IF(AND($F21&gt;=$H$10,$F21&lt;$J$10),$H$11,IF(AND($F21&gt;=$J$10,$F21&lt;$L$10),$J$11,IF($F21&gt;$L$10,$L$11,0)))))^($F21+($AL$19-AR$19)/365),0)</f>
        <v>37366.381886412542</v>
      </c>
      <c r="AS21" s="53"/>
      <c r="AT21" s="71">
        <f t="shared" ref="AT21:AT28" si="25">+IF(AT$19&gt;=$L21,$H21/(1+IF($F21&lt;$H$10,$F$11,IF(AND($F21&gt;=$H$10,$F21&lt;$J$10),$H$11,IF(AND($F21&gt;=$J$10,$F21&lt;$L$10),$J$11,IF($F21&gt;$L$10,$L$11,0)))))^($F21+($AL$19-AT$19)/365),0)</f>
        <v>37478.775263966141</v>
      </c>
      <c r="AU21" s="53"/>
      <c r="AV21" s="71">
        <f t="shared" ref="AV21:AV28" si="26">+IF(AV$19&gt;=$L21,$H21/(1+IF($F21&lt;$H$10,$F$11,IF(AND($F21&gt;=$H$10,$F21&lt;$J$10),$H$11,IF(AND($F21&gt;=$J$10,$F21&lt;$L$10),$J$11,IF($F21&gt;$L$10,$L$11,0)))))^($F21+($AL$19-AV$19)/365),0)</f>
        <v>37595.270255515621</v>
      </c>
      <c r="AW21" s="53"/>
      <c r="AX21" s="71">
        <f t="shared" ref="AX21:AX28" si="27">+IF(AX$19&gt;=$L21,$H21/(1+IF($F21&lt;$H$10,$F$11,IF(AND($F21&gt;=$H$10,$F21&lt;$J$10),$H$11,IF(AND($F21&gt;=$J$10,$F21&lt;$L$10),$J$11,IF($F21&gt;$L$10,$L$11,0)))))^($F21+($AL$19-AX$19)/365),0)</f>
        <v>37708.352100498705</v>
      </c>
      <c r="AY21" s="53"/>
      <c r="AZ21" s="71">
        <f t="shared" ref="AZ21:AZ28" si="28">+IF(AZ$19&gt;=$L21,$H21/(1+IF($F21&lt;$H$10,$F$11,IF(AND($F21&gt;=$H$10,$F21&lt;$J$10),$H$11,IF(AND($F21&gt;=$J$10,$F21&lt;$L$10),$J$11,IF($F21&gt;$L$10,$L$11,0)))))^($F21+($AL$19-AZ$19)/365),0)</f>
        <v>37825.560683979718</v>
      </c>
      <c r="BA21" s="53"/>
      <c r="BB21" s="71">
        <f t="shared" ref="BB21:BB28" si="29">+IF(BB$19&gt;=$L21,$H21/(1+IF($F21&lt;$H$10,$F$11,IF(AND($F21&gt;=$H$10,$F21&lt;$J$10),$H$11,IF(AND($F21&gt;=$J$10,$F21&lt;$L$10),$J$11,IF($F21&gt;$L$10,$L$11,0)))))^($F21+($AL$19-BB$19)/365),0)</f>
        <v>37943.133586007578</v>
      </c>
      <c r="BC21" s="53"/>
      <c r="BD21" s="71">
        <f t="shared" ref="BD21:BD28" si="30">+IF(BD$19&gt;=$L21,$H21/(1+IF($F21&lt;$H$10,$F$11,IF(AND($F21&gt;=$H$10,$F21&lt;$J$10),$H$11,IF(AND($F21&gt;=$J$10,$F21&lt;$L$10),$J$11,IF($F21&gt;$L$10,$L$11,0)))))^($F21+($AL$19-BD$19)/365),0)</f>
        <v>38057.261760141817</v>
      </c>
      <c r="BE21" s="53"/>
      <c r="BF21" s="71">
        <f t="shared" ref="BF21:BF28" si="31">+IF(BF$19&gt;=$L21,$H21/(1+IF($F21&lt;$H$10,$F$11,IF(AND($F21&gt;=$H$10,$F21&lt;$J$10),$H$11,IF(AND($F21&gt;=$J$10,$F21&lt;$L$10),$J$11,IF($F21&gt;$L$10,$L$11,0)))))^($F21+($AL$19-BF$19)/365),0)</f>
        <v>38175.55485685906</v>
      </c>
      <c r="BG21" s="53"/>
      <c r="BH21" s="71">
        <f t="shared" ref="BH21:BH28" si="32">+IF(BH$19&gt;=$L21,$H21/(1+IF($F21&lt;$H$10,$F$11,IF(AND($F21&gt;=$H$10,$F21&lt;$J$10),$H$11,IF(AND($F21&gt;=$J$10,$F21&lt;$L$10),$J$11,IF($F21&gt;$L$10,$L$11,0)))))^($F21+($AL$19-BH$19)/365),0)</f>
        <v>38290.382124946947</v>
      </c>
      <c r="BI21" s="53"/>
      <c r="BJ21" s="71">
        <f t="shared" ref="BJ21:BJ28" si="33">+IF(BJ$19&gt;=$L21,$H21/(1+IF($F21&lt;$H$10,$F$11,IF(AND($F21&gt;=$H$10,$F21&lt;$J$10),$H$11,IF(AND($F21&gt;=$J$10,$F21&lt;$L$10),$J$11,IF($F21&gt;$L$10,$L$11,0)))))^($F21+($AL$19-BJ$19)/365),0)</f>
        <v>38409.399827917645</v>
      </c>
      <c r="BK21" s="75"/>
    </row>
    <row r="22" spans="1:63" ht="12.75" customHeight="1" x14ac:dyDescent="0.2">
      <c r="A22" s="46"/>
      <c r="B22" s="30" t="s">
        <v>72</v>
      </c>
      <c r="D22" s="68" t="s">
        <v>53</v>
      </c>
      <c r="E22" s="69">
        <v>0.5</v>
      </c>
      <c r="F22" s="70">
        <v>7.2712328767123289</v>
      </c>
      <c r="G22" s="70"/>
      <c r="H22" s="76">
        <f t="shared" ref="H22:H28" si="34">+(($F$13*(1+$F$9)^$F22)*E22)</f>
        <v>49904.576264424068</v>
      </c>
      <c r="I22" s="72"/>
      <c r="J22" s="76">
        <f>+(($F$13*(1+$F$9)^$F22)*E22)/(1+IF($F22&lt;$H$10,$F$11,IF(AND($F22&gt;=$H$10,$F22&lt;$J$10),$H$11,IF(AND($F22&gt;=$J$10,$F22&lt;$L$10),$J$11,IF($F22&gt;$L$10,$L$11,0)))))^$F22</f>
        <v>38260.402775975366</v>
      </c>
      <c r="K22" s="76"/>
      <c r="L22" s="73">
        <v>40574</v>
      </c>
      <c r="N22" s="77">
        <f t="shared" si="11"/>
        <v>0</v>
      </c>
      <c r="O22" s="78"/>
      <c r="P22" s="77">
        <f t="shared" si="12"/>
        <v>37002.226530255546</v>
      </c>
      <c r="Q22" s="77"/>
      <c r="R22" s="77">
        <f t="shared" si="13"/>
        <v>37106.094300729586</v>
      </c>
      <c r="S22" s="77"/>
      <c r="T22" s="77">
        <f t="shared" si="14"/>
        <v>37221.430890881027</v>
      </c>
      <c r="U22" s="77"/>
      <c r="V22" s="77">
        <f t="shared" si="15"/>
        <v>37333.388274068973</v>
      </c>
      <c r="W22" s="77"/>
      <c r="X22" s="77">
        <f t="shared" si="16"/>
        <v>37449.431360345661</v>
      </c>
      <c r="Y22" s="77"/>
      <c r="Z22" s="77">
        <f t="shared" si="17"/>
        <v>37562.074540272639</v>
      </c>
      <c r="AA22" s="77"/>
      <c r="AB22" s="77">
        <f t="shared" si="18"/>
        <v>37678.828450327885</v>
      </c>
      <c r="AC22" s="77"/>
      <c r="AD22" s="77">
        <f t="shared" si="19"/>
        <v>37795.945265672053</v>
      </c>
      <c r="AE22" s="77"/>
      <c r="AF22" s="77">
        <f t="shared" si="20"/>
        <v>37909.630715848987</v>
      </c>
      <c r="AG22" s="77"/>
      <c r="AH22" s="77">
        <f t="shared" si="21"/>
        <v>38027.464932116265</v>
      </c>
      <c r="AI22" s="77"/>
      <c r="AJ22" s="77">
        <f t="shared" si="22"/>
        <v>38141.846764334165</v>
      </c>
      <c r="AK22" s="79"/>
      <c r="AL22" s="79">
        <f t="shared" ref="AL22:AL24" si="35">+J22</f>
        <v>38260.402775975366</v>
      </c>
      <c r="AM22" s="80"/>
      <c r="AN22" s="79">
        <f t="shared" ref="AN22:AN28" si="36">+IF(AN$19&gt;=$L22,$H22/(1+IF($F22&lt;$H$10,$F$11,IF(AND($F22&gt;=$H$10,$F22&lt;$J$10),$H$11,IF(AND($F22&gt;=$J$10,$F22&lt;$L$10),$J$11,IF($F22&gt;$L$10,$L$11,0)))))^($F22+($AL$19-AN$19)/365),0)</f>
        <v>38379.327294364113</v>
      </c>
      <c r="AO22" s="79"/>
      <c r="AP22" s="79">
        <f t="shared" si="23"/>
        <v>38490.913889518808</v>
      </c>
      <c r="AQ22" s="79"/>
      <c r="AR22" s="79">
        <f t="shared" si="24"/>
        <v>38610.554903845179</v>
      </c>
      <c r="AS22" s="79"/>
      <c r="AT22" s="79">
        <f t="shared" si="25"/>
        <v>38726.690597369212</v>
      </c>
      <c r="AU22" s="79"/>
      <c r="AV22" s="79">
        <f t="shared" si="26"/>
        <v>38847.064474639883</v>
      </c>
      <c r="AW22" s="79"/>
      <c r="AX22" s="79">
        <f t="shared" si="27"/>
        <v>38963.91155920965</v>
      </c>
      <c r="AY22" s="79"/>
      <c r="AZ22" s="79">
        <f t="shared" si="28"/>
        <v>39085.022788588292</v>
      </c>
      <c r="BA22" s="79"/>
      <c r="BB22" s="79">
        <f t="shared" si="29"/>
        <v>39206.510467078297</v>
      </c>
      <c r="BC22" s="79"/>
      <c r="BD22" s="79">
        <f t="shared" si="30"/>
        <v>39324.438719989717</v>
      </c>
      <c r="BE22" s="79"/>
      <c r="BF22" s="79">
        <f t="shared" si="31"/>
        <v>39446.670573194853</v>
      </c>
      <c r="BG22" s="79"/>
      <c r="BH22" s="79">
        <f t="shared" si="32"/>
        <v>39565.321197503166</v>
      </c>
      <c r="BI22" s="79"/>
      <c r="BJ22" s="79">
        <f t="shared" si="33"/>
        <v>39688.301783877541</v>
      </c>
      <c r="BK22" s="80"/>
    </row>
    <row r="23" spans="1:63" ht="12.75" customHeight="1" x14ac:dyDescent="0.2">
      <c r="A23" s="46"/>
      <c r="B23" s="30" t="s">
        <v>73</v>
      </c>
      <c r="D23" s="68" t="s">
        <v>53</v>
      </c>
      <c r="E23" s="69">
        <v>0.1</v>
      </c>
      <c r="F23" s="70">
        <v>10.227397260273973</v>
      </c>
      <c r="G23" s="70"/>
      <c r="H23" s="76">
        <f t="shared" si="34"/>
        <v>11529.472008758141</v>
      </c>
      <c r="I23" s="72"/>
      <c r="J23" s="76">
        <f>+(($F$13*(1+$F$9)^$F23)*E23)/(1+IF($F23&lt;$H$10,$F$11,IF(AND($F23&gt;=$H$10,$F23&lt;$J$10),$H$11,IF(AND($F23&gt;=$J$10,$F23&lt;$L$10),$J$11,IF($F23&gt;$L$10,$L$11,0)))))^$F23</f>
        <v>7150.6156472866369</v>
      </c>
      <c r="K23" s="76"/>
      <c r="L23" s="73">
        <v>40816</v>
      </c>
      <c r="N23" s="77">
        <f t="shared" si="11"/>
        <v>0</v>
      </c>
      <c r="O23" s="78"/>
      <c r="P23" s="77">
        <f t="shared" si="12"/>
        <v>0</v>
      </c>
      <c r="Q23" s="77"/>
      <c r="R23" s="77">
        <f t="shared" si="13"/>
        <v>0</v>
      </c>
      <c r="S23" s="77"/>
      <c r="T23" s="77">
        <f t="shared" si="14"/>
        <v>0</v>
      </c>
      <c r="U23" s="77"/>
      <c r="V23" s="77">
        <f t="shared" si="15"/>
        <v>0</v>
      </c>
      <c r="W23" s="77"/>
      <c r="X23" s="77">
        <f t="shared" si="16"/>
        <v>0</v>
      </c>
      <c r="Y23" s="77"/>
      <c r="Z23" s="77">
        <f t="shared" si="17"/>
        <v>0</v>
      </c>
      <c r="AA23" s="77"/>
      <c r="AB23" s="77">
        <f t="shared" si="18"/>
        <v>0</v>
      </c>
      <c r="AC23" s="77"/>
      <c r="AD23" s="77">
        <f t="shared" si="19"/>
        <v>0</v>
      </c>
      <c r="AE23" s="77"/>
      <c r="AF23" s="77">
        <f t="shared" si="20"/>
        <v>7066.9240484599213</v>
      </c>
      <c r="AG23" s="77"/>
      <c r="AH23" s="77">
        <f t="shared" si="21"/>
        <v>7095.0144814387659</v>
      </c>
      <c r="AI23" s="77"/>
      <c r="AJ23" s="77">
        <f t="shared" si="22"/>
        <v>7122.3050793345828</v>
      </c>
      <c r="AK23" s="77"/>
      <c r="AL23" s="79">
        <f t="shared" si="35"/>
        <v>7150.6156472866369</v>
      </c>
      <c r="AM23" s="80"/>
      <c r="AN23" s="79">
        <f t="shared" si="36"/>
        <v>7179.0387473822657</v>
      </c>
      <c r="AO23" s="77"/>
      <c r="AP23" s="79">
        <f t="shared" si="23"/>
        <v>7205.7303714339296</v>
      </c>
      <c r="AQ23" s="77"/>
      <c r="AR23" s="79">
        <f t="shared" si="24"/>
        <v>7234.3725479557643</v>
      </c>
      <c r="AS23" s="77"/>
      <c r="AT23" s="79">
        <f t="shared" si="25"/>
        <v>7262.1991792827748</v>
      </c>
      <c r="AU23" s="77"/>
      <c r="AV23" s="79">
        <f t="shared" si="26"/>
        <v>7291.065814600458</v>
      </c>
      <c r="AW23" s="77"/>
      <c r="AX23" s="79">
        <f t="shared" si="27"/>
        <v>7319.1105135786984</v>
      </c>
      <c r="AY23" s="77"/>
      <c r="AZ23" s="79">
        <f>+IF(AZ$19&gt;=$L23,$H23/(1+IF($F23&lt;$H$10,$F$11,IF(AND($F23&gt;=$H$10,$F23&lt;$J$10),$H$11,IF(AND($F23&gt;=$J$10,$F23&lt;$L$10),$J$11,IF($F23&gt;$L$10,$L$11,0)))))^($F23+($AL$19-AZ$19)/365),0)</f>
        <v>7348.203366697905</v>
      </c>
      <c r="BA23" s="77"/>
      <c r="BB23" s="79">
        <f t="shared" si="29"/>
        <v>7377.4118614789013</v>
      </c>
      <c r="BC23" s="77"/>
      <c r="BD23" s="79">
        <f t="shared" si="30"/>
        <v>7405.788685958988</v>
      </c>
      <c r="BE23" s="77"/>
      <c r="BF23" s="79">
        <f t="shared" si="31"/>
        <v>7435.2260775754648</v>
      </c>
      <c r="BG23" s="77"/>
      <c r="BH23" s="79">
        <f t="shared" si="32"/>
        <v>7463.8252813795516</v>
      </c>
      <c r="BI23" s="77"/>
      <c r="BJ23" s="79">
        <f t="shared" si="33"/>
        <v>7493.4933636165588</v>
      </c>
      <c r="BK23" s="80"/>
    </row>
    <row r="24" spans="1:63" ht="12.75" customHeight="1" x14ac:dyDescent="0.2">
      <c r="A24" s="46"/>
      <c r="B24" s="30" t="s">
        <v>74</v>
      </c>
      <c r="D24" s="68" t="s">
        <v>53</v>
      </c>
      <c r="E24" s="69">
        <v>0.98885173999999998</v>
      </c>
      <c r="F24" s="70">
        <v>7.1315068493150688</v>
      </c>
      <c r="G24" s="70"/>
      <c r="H24" s="76">
        <f t="shared" si="34"/>
        <v>98025.90342497002</v>
      </c>
      <c r="I24" s="72"/>
      <c r="J24" s="76">
        <f>+(($F$13*(1+$F$9)^$F24)*E24)/(1+IF($F24&lt;$H$10,$F$11,IF(AND($F24&gt;=$H$10,$F24&lt;$J$10),$H$11,IF(AND($F24&gt;=$J$10,$F24&lt;$L$10),$J$11,IF($F24&gt;$L$10,$L$11,0)))))^$F24</f>
        <v>75538.333798147403</v>
      </c>
      <c r="K24" s="76"/>
      <c r="L24" s="73">
        <v>40755</v>
      </c>
      <c r="N24" s="77">
        <f t="shared" si="11"/>
        <v>0</v>
      </c>
      <c r="O24" s="78"/>
      <c r="P24" s="77">
        <f t="shared" si="12"/>
        <v>0</v>
      </c>
      <c r="Q24" s="77"/>
      <c r="R24" s="77">
        <f t="shared" si="13"/>
        <v>0</v>
      </c>
      <c r="S24" s="77"/>
      <c r="T24" s="77">
        <f t="shared" si="14"/>
        <v>0</v>
      </c>
      <c r="U24" s="77"/>
      <c r="V24" s="77">
        <f t="shared" si="15"/>
        <v>0</v>
      </c>
      <c r="W24" s="77"/>
      <c r="X24" s="77">
        <f t="shared" si="16"/>
        <v>0</v>
      </c>
      <c r="Y24" s="77"/>
      <c r="Z24" s="77">
        <f t="shared" si="17"/>
        <v>0</v>
      </c>
      <c r="AA24" s="77"/>
      <c r="AB24" s="77">
        <f t="shared" si="18"/>
        <v>74390.119133591463</v>
      </c>
      <c r="AC24" s="77"/>
      <c r="AD24" s="77">
        <f t="shared" si="19"/>
        <v>74621.345374011449</v>
      </c>
      <c r="AE24" s="77"/>
      <c r="AF24" s="77">
        <f t="shared" si="20"/>
        <v>74845.796996586898</v>
      </c>
      <c r="AG24" s="77"/>
      <c r="AH24" s="77">
        <f t="shared" si="21"/>
        <v>75078.439617035998</v>
      </c>
      <c r="AI24" s="77"/>
      <c r="AJ24" s="77">
        <f t="shared" si="22"/>
        <v>75304.266121610723</v>
      </c>
      <c r="AK24" s="77"/>
      <c r="AL24" s="79">
        <f t="shared" si="35"/>
        <v>75538.333798147403</v>
      </c>
      <c r="AM24" s="80"/>
      <c r="AN24" s="79">
        <f t="shared" si="36"/>
        <v>75773.129025459377</v>
      </c>
      <c r="AO24" s="77"/>
      <c r="AP24" s="79">
        <f t="shared" si="23"/>
        <v>75993.436833548811</v>
      </c>
      <c r="AQ24" s="77"/>
      <c r="AR24" s="79">
        <f t="shared" si="24"/>
        <v>76229.646654157652</v>
      </c>
      <c r="AS24" s="77"/>
      <c r="AT24" s="79">
        <f t="shared" si="25"/>
        <v>76458.935844725333</v>
      </c>
      <c r="AU24" s="77"/>
      <c r="AV24" s="79">
        <f t="shared" si="26"/>
        <v>76696.592572363326</v>
      </c>
      <c r="AW24" s="77"/>
      <c r="AX24" s="79">
        <f t="shared" si="27"/>
        <v>76927.286277530307</v>
      </c>
      <c r="AY24" s="77"/>
      <c r="AZ24" s="79">
        <f t="shared" si="28"/>
        <v>77166.39877524956</v>
      </c>
      <c r="BA24" s="77"/>
      <c r="BB24" s="79">
        <f t="shared" si="29"/>
        <v>77406.254504523327</v>
      </c>
      <c r="BC24" s="77"/>
      <c r="BD24" s="79">
        <f t="shared" si="30"/>
        <v>77639.082783535836</v>
      </c>
      <c r="BE24" s="77"/>
      <c r="BF24" s="79">
        <f t="shared" si="31"/>
        <v>77880.407752910527</v>
      </c>
      <c r="BG24" s="77"/>
      <c r="BH24" s="79">
        <f t="shared" si="32"/>
        <v>78114.662225265114</v>
      </c>
      <c r="BI24" s="77"/>
      <c r="BJ24" s="79">
        <f t="shared" si="33"/>
        <v>78357.465434594429</v>
      </c>
      <c r="BK24" s="80"/>
    </row>
    <row r="25" spans="1:63" ht="12.75" customHeight="1" x14ac:dyDescent="0.2">
      <c r="A25" s="46"/>
      <c r="B25" s="30" t="s">
        <v>75</v>
      </c>
      <c r="D25" s="68" t="s">
        <v>53</v>
      </c>
      <c r="E25" s="69">
        <v>0.48547770000000001</v>
      </c>
      <c r="F25" s="117">
        <v>25</v>
      </c>
      <c r="G25" s="70"/>
      <c r="H25" s="76">
        <f t="shared" si="34"/>
        <v>115079.98656640289</v>
      </c>
      <c r="I25" s="72"/>
      <c r="J25" s="76">
        <f>+(($F$13*(1+$F$9)^$F25)*E25)/(1+IF($F25&lt;$H$10,$F$11,IF(AND($F25&gt;=$H$10,$F25&lt;$J$10),$H$11,IF(AND($F25&gt;=$J$10,$F25&lt;$L$10),$J$11,IF($F25&gt;$L$10,$L$11,0)))))^$F25</f>
        <v>30453.253554660863</v>
      </c>
      <c r="K25" s="76"/>
      <c r="L25" s="73">
        <v>40969</v>
      </c>
      <c r="N25" s="77">
        <f t="shared" si="11"/>
        <v>0</v>
      </c>
      <c r="O25" s="78"/>
      <c r="P25" s="77">
        <f t="shared" si="12"/>
        <v>0</v>
      </c>
      <c r="Q25" s="77"/>
      <c r="R25" s="77">
        <f t="shared" si="13"/>
        <v>0</v>
      </c>
      <c r="S25" s="77"/>
      <c r="T25" s="77">
        <f t="shared" si="14"/>
        <v>0</v>
      </c>
      <c r="U25" s="77"/>
      <c r="V25" s="77">
        <f t="shared" si="15"/>
        <v>0</v>
      </c>
      <c r="W25" s="77"/>
      <c r="X25" s="77">
        <f t="shared" si="16"/>
        <v>0</v>
      </c>
      <c r="Y25" s="77"/>
      <c r="Z25" s="77">
        <f t="shared" si="17"/>
        <v>0</v>
      </c>
      <c r="AA25" s="77"/>
      <c r="AB25" s="77">
        <f t="shared" si="18"/>
        <v>0</v>
      </c>
      <c r="AC25" s="77"/>
      <c r="AD25" s="77">
        <f t="shared" si="19"/>
        <v>0</v>
      </c>
      <c r="AE25" s="77"/>
      <c r="AF25" s="77">
        <f t="shared" si="20"/>
        <v>0</v>
      </c>
      <c r="AG25" s="77"/>
      <c r="AH25" s="77">
        <f t="shared" si="21"/>
        <v>0</v>
      </c>
      <c r="AI25" s="77"/>
      <c r="AJ25" s="77">
        <f t="shared" si="22"/>
        <v>0</v>
      </c>
      <c r="AK25" s="77"/>
      <c r="AL25" s="79"/>
      <c r="AM25" s="80"/>
      <c r="AN25" s="79">
        <f t="shared" si="36"/>
        <v>0</v>
      </c>
      <c r="AO25" s="77"/>
      <c r="AP25" s="79">
        <f t="shared" si="23"/>
        <v>0</v>
      </c>
      <c r="AQ25" s="77"/>
      <c r="AR25" s="79">
        <f t="shared" si="24"/>
        <v>30859.688734572039</v>
      </c>
      <c r="AS25" s="77"/>
      <c r="AT25" s="79">
        <f t="shared" si="25"/>
        <v>30994.863721416368</v>
      </c>
      <c r="AU25" s="77"/>
      <c r="AV25" s="79">
        <f t="shared" si="26"/>
        <v>31135.166614036338</v>
      </c>
      <c r="AW25" s="77"/>
      <c r="AX25" s="79">
        <f t="shared" si="27"/>
        <v>31271.548279245199</v>
      </c>
      <c r="AY25" s="77"/>
      <c r="AZ25" s="79">
        <f t="shared" si="28"/>
        <v>31413.103625954205</v>
      </c>
      <c r="BA25" s="77"/>
      <c r="BB25" s="79">
        <f t="shared" si="29"/>
        <v>31555.299744140291</v>
      </c>
      <c r="BC25" s="77"/>
      <c r="BD25" s="79">
        <f t="shared" si="30"/>
        <v>31693.521722478148</v>
      </c>
      <c r="BE25" s="77"/>
      <c r="BF25" s="79">
        <f t="shared" si="31"/>
        <v>31836.987195175327</v>
      </c>
      <c r="BG25" s="77"/>
      <c r="BH25" s="79">
        <f t="shared" si="32"/>
        <v>31976.443051722879</v>
      </c>
      <c r="BI25" s="77"/>
      <c r="BJ25" s="79">
        <f t="shared" si="33"/>
        <v>32121.189210188957</v>
      </c>
      <c r="BK25" s="80"/>
    </row>
    <row r="26" spans="1:63" ht="12.75" customHeight="1" x14ac:dyDescent="0.2">
      <c r="A26" s="46"/>
      <c r="B26" s="30" t="s">
        <v>76</v>
      </c>
      <c r="D26" s="68" t="s">
        <v>53</v>
      </c>
      <c r="E26" s="69">
        <v>0.98557675</v>
      </c>
      <c r="F26" s="117">
        <v>25</v>
      </c>
      <c r="G26" s="70"/>
      <c r="H26" s="76">
        <f t="shared" si="34"/>
        <v>233625.88878986411</v>
      </c>
      <c r="I26" s="72"/>
      <c r="J26" s="76">
        <f>+(($F$13*(1+$F$9)^$F26)*E26)/(1+IF($F26&lt;$H$10,$F$11,IF(AND($F26&gt;=$H$10,$F26&lt;$J$10),$H$11,IF(AND($F26&gt;=$J$10,$F26&lt;$L$10),$J$11,IF($F26&gt;$L$10,$L$11,0)))))^$F26</f>
        <v>61823.68142826869</v>
      </c>
      <c r="K26" s="76"/>
      <c r="L26" s="73">
        <v>41049</v>
      </c>
      <c r="N26" s="77">
        <f t="shared" si="11"/>
        <v>0</v>
      </c>
      <c r="O26" s="78"/>
      <c r="P26" s="77">
        <f t="shared" si="12"/>
        <v>0</v>
      </c>
      <c r="Q26" s="77"/>
      <c r="R26" s="77">
        <f t="shared" si="13"/>
        <v>0</v>
      </c>
      <c r="S26" s="77"/>
      <c r="T26" s="77">
        <f t="shared" si="14"/>
        <v>0</v>
      </c>
      <c r="U26" s="77"/>
      <c r="V26" s="77">
        <f t="shared" si="15"/>
        <v>0</v>
      </c>
      <c r="W26" s="77"/>
      <c r="X26" s="77">
        <f t="shared" si="16"/>
        <v>0</v>
      </c>
      <c r="Y26" s="77"/>
      <c r="Z26" s="77">
        <f t="shared" si="17"/>
        <v>0</v>
      </c>
      <c r="AA26" s="77"/>
      <c r="AB26" s="77">
        <f t="shared" si="18"/>
        <v>0</v>
      </c>
      <c r="AC26" s="77"/>
      <c r="AD26" s="77">
        <f t="shared" si="19"/>
        <v>0</v>
      </c>
      <c r="AE26" s="77"/>
      <c r="AF26" s="77">
        <f t="shared" si="20"/>
        <v>0</v>
      </c>
      <c r="AG26" s="77"/>
      <c r="AH26" s="77">
        <f t="shared" si="21"/>
        <v>0</v>
      </c>
      <c r="AI26" s="77"/>
      <c r="AJ26" s="77">
        <f t="shared" si="22"/>
        <v>0</v>
      </c>
      <c r="AK26" s="77"/>
      <c r="AL26" s="79"/>
      <c r="AM26" s="80"/>
      <c r="AN26" s="79">
        <f t="shared" si="36"/>
        <v>0</v>
      </c>
      <c r="AO26" s="77"/>
      <c r="AP26" s="79">
        <f t="shared" si="23"/>
        <v>0</v>
      </c>
      <c r="AQ26" s="77"/>
      <c r="AR26" s="79">
        <f t="shared" si="24"/>
        <v>0</v>
      </c>
      <c r="AS26" s="77"/>
      <c r="AT26" s="79">
        <f t="shared" si="25"/>
        <v>0</v>
      </c>
      <c r="AU26" s="77"/>
      <c r="AV26" s="79">
        <f t="shared" si="26"/>
        <v>63208.045028989873</v>
      </c>
      <c r="AW26" s="77"/>
      <c r="AX26" s="79">
        <f t="shared" si="27"/>
        <v>63484.915827290468</v>
      </c>
      <c r="AY26" s="77"/>
      <c r="AZ26" s="79">
        <f t="shared" si="28"/>
        <v>63772.289806681452</v>
      </c>
      <c r="BA26" s="77"/>
      <c r="BB26" s="79">
        <f t="shared" si="29"/>
        <v>64060.964627429064</v>
      </c>
      <c r="BC26" s="77"/>
      <c r="BD26" s="79">
        <f t="shared" si="30"/>
        <v>64341.571477524943</v>
      </c>
      <c r="BE26" s="77"/>
      <c r="BF26" s="79">
        <f t="shared" si="31"/>
        <v>64632.823237014825</v>
      </c>
      <c r="BG26" s="77"/>
      <c r="BH26" s="79">
        <f t="shared" si="32"/>
        <v>64915.935004794483</v>
      </c>
      <c r="BI26" s="77"/>
      <c r="BJ26" s="79">
        <f t="shared" si="33"/>
        <v>65209.786706810832</v>
      </c>
      <c r="BK26" s="80"/>
    </row>
    <row r="27" spans="1:63" ht="12.75" customHeight="1" x14ac:dyDescent="0.2">
      <c r="A27" s="46"/>
      <c r="B27" s="30" t="s">
        <v>77</v>
      </c>
      <c r="D27" s="68" t="s">
        <v>53</v>
      </c>
      <c r="E27" s="69">
        <v>0.5</v>
      </c>
      <c r="F27" s="117">
        <v>25</v>
      </c>
      <c r="G27" s="70"/>
      <c r="H27" s="76">
        <f t="shared" si="34"/>
        <v>118522.4229314785</v>
      </c>
      <c r="I27" s="72"/>
      <c r="J27" s="76">
        <f t="shared" ref="J27:J28" si="37">+(($F$13*(1+$F$9)^$F27)*E27)/(1+IF($F27&lt;$H$10,$F$11,IF(AND($F27&gt;=$H$10,$F27&lt;$J$10),$H$11,IF(AND($F27&gt;=$J$10,$F27&lt;$L$10),$J$11,IF($F27&gt;$L$10,$L$11,0)))))^$F27</f>
        <v>31364.214622691077</v>
      </c>
      <c r="K27" s="76"/>
      <c r="L27" s="73">
        <v>41041</v>
      </c>
      <c r="N27" s="77"/>
      <c r="O27" s="78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9"/>
      <c r="AM27" s="80"/>
      <c r="AN27" s="79">
        <f t="shared" si="36"/>
        <v>0</v>
      </c>
      <c r="AO27" s="77"/>
      <c r="AP27" s="79">
        <f t="shared" si="23"/>
        <v>0</v>
      </c>
      <c r="AQ27" s="77"/>
      <c r="AR27" s="79">
        <f t="shared" si="24"/>
        <v>0</v>
      </c>
      <c r="AS27" s="77"/>
      <c r="AT27" s="79">
        <f t="shared" si="25"/>
        <v>0</v>
      </c>
      <c r="AU27" s="77"/>
      <c r="AV27" s="79">
        <f t="shared" si="26"/>
        <v>32066.526036145777</v>
      </c>
      <c r="AW27" s="77"/>
      <c r="AX27" s="79">
        <f t="shared" si="27"/>
        <v>32206.987343852456</v>
      </c>
      <c r="AY27" s="77"/>
      <c r="AZ27" s="79">
        <f t="shared" si="28"/>
        <v>32352.777095584617</v>
      </c>
      <c r="BA27" s="77"/>
      <c r="BB27" s="79">
        <f t="shared" si="29"/>
        <v>32499.226786462375</v>
      </c>
      <c r="BC27" s="77"/>
      <c r="BD27" s="79">
        <f t="shared" si="30"/>
        <v>32641.583457363897</v>
      </c>
      <c r="BE27" s="77"/>
      <c r="BF27" s="79">
        <f t="shared" si="31"/>
        <v>32789.340473491706</v>
      </c>
      <c r="BG27" s="77"/>
      <c r="BH27" s="79">
        <f t="shared" si="32"/>
        <v>32932.967932124251</v>
      </c>
      <c r="BI27" s="77"/>
      <c r="BJ27" s="79">
        <f t="shared" si="33"/>
        <v>33082.043943716628</v>
      </c>
      <c r="BK27" s="80"/>
    </row>
    <row r="28" spans="1:63" ht="12.75" customHeight="1" x14ac:dyDescent="0.2">
      <c r="A28" s="46"/>
      <c r="B28" s="30" t="s">
        <v>78</v>
      </c>
      <c r="D28" s="68" t="s">
        <v>53</v>
      </c>
      <c r="E28" s="69">
        <v>0.1</v>
      </c>
      <c r="F28" s="117">
        <v>25</v>
      </c>
      <c r="G28" s="70"/>
      <c r="H28" s="76">
        <f t="shared" si="34"/>
        <v>23704.484586295701</v>
      </c>
      <c r="I28" s="72"/>
      <c r="J28" s="76">
        <f t="shared" si="37"/>
        <v>6272.8429245382149</v>
      </c>
      <c r="K28" s="76"/>
      <c r="L28" s="73">
        <v>41030</v>
      </c>
      <c r="N28" s="77"/>
      <c r="O28" s="78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9"/>
      <c r="AM28" s="80"/>
      <c r="AN28" s="79">
        <f t="shared" si="36"/>
        <v>0</v>
      </c>
      <c r="AO28" s="77"/>
      <c r="AP28" s="79">
        <f t="shared" si="23"/>
        <v>0</v>
      </c>
      <c r="AQ28" s="77"/>
      <c r="AR28" s="79">
        <f t="shared" si="24"/>
        <v>0</v>
      </c>
      <c r="AS28" s="77"/>
      <c r="AT28" s="79">
        <f t="shared" si="25"/>
        <v>0</v>
      </c>
      <c r="AU28" s="77"/>
      <c r="AV28" s="79">
        <f t="shared" si="26"/>
        <v>6413.3052072291548</v>
      </c>
      <c r="AW28" s="77"/>
      <c r="AX28" s="79">
        <f t="shared" si="27"/>
        <v>6441.3974687704913</v>
      </c>
      <c r="AY28" s="77"/>
      <c r="AZ28" s="79">
        <f t="shared" si="28"/>
        <v>6470.555419116924</v>
      </c>
      <c r="BA28" s="77"/>
      <c r="BB28" s="79">
        <f t="shared" si="29"/>
        <v>6499.8453572924745</v>
      </c>
      <c r="BC28" s="77"/>
      <c r="BD28" s="79">
        <f t="shared" si="30"/>
        <v>6528.316691472779</v>
      </c>
      <c r="BE28" s="77"/>
      <c r="BF28" s="79">
        <f t="shared" si="31"/>
        <v>6557.8680946983404</v>
      </c>
      <c r="BG28" s="77"/>
      <c r="BH28" s="79">
        <f t="shared" si="32"/>
        <v>6586.5935864248513</v>
      </c>
      <c r="BI28" s="77"/>
      <c r="BJ28" s="79">
        <f t="shared" si="33"/>
        <v>6616.4087887433252</v>
      </c>
      <c r="BK28" s="80"/>
    </row>
    <row r="29" spans="1:63" ht="12.75" customHeight="1" x14ac:dyDescent="0.2">
      <c r="A29" s="46"/>
      <c r="B29" s="30"/>
      <c r="D29" s="68"/>
      <c r="E29" s="69"/>
      <c r="F29" s="70"/>
      <c r="G29" s="70"/>
      <c r="H29" s="76"/>
      <c r="I29" s="72"/>
      <c r="J29" s="76"/>
      <c r="K29" s="76"/>
      <c r="L29" s="73"/>
      <c r="N29" s="77"/>
      <c r="O29" s="78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9"/>
      <c r="AM29" s="80"/>
      <c r="AN29" s="79"/>
      <c r="AO29" s="77"/>
      <c r="AP29" s="79"/>
      <c r="AQ29" s="77"/>
      <c r="AR29" s="79"/>
      <c r="AS29" s="77"/>
      <c r="AT29" s="79"/>
      <c r="AU29" s="77"/>
      <c r="AV29" s="79"/>
      <c r="AW29" s="77"/>
      <c r="AX29" s="79"/>
      <c r="AY29" s="77"/>
      <c r="AZ29" s="79"/>
      <c r="BA29" s="77"/>
      <c r="BB29" s="79"/>
      <c r="BC29" s="77"/>
      <c r="BD29" s="79"/>
      <c r="BE29" s="77"/>
      <c r="BF29" s="79"/>
      <c r="BG29" s="77"/>
      <c r="BH29" s="79"/>
      <c r="BI29" s="77"/>
      <c r="BJ29" s="79"/>
      <c r="BK29" s="80"/>
    </row>
    <row r="30" spans="1:63" ht="12.75" customHeight="1" thickBot="1" x14ac:dyDescent="0.25">
      <c r="B30" s="82" t="s">
        <v>54</v>
      </c>
      <c r="C30" s="83"/>
      <c r="D30" s="83"/>
      <c r="E30" s="83"/>
      <c r="F30" s="83"/>
      <c r="G30" s="83"/>
      <c r="H30" s="83"/>
      <c r="I30" s="83"/>
      <c r="J30" s="84">
        <f>SUM(J21:J29)</f>
        <v>287890.8576898161</v>
      </c>
      <c r="K30" s="85"/>
      <c r="L30" s="85"/>
      <c r="M30" s="83"/>
      <c r="N30" s="86">
        <f>SUM(N21:N29)</f>
        <v>0</v>
      </c>
      <c r="O30" s="87"/>
      <c r="P30" s="86">
        <f>SUM(P21:P29)</f>
        <v>37002.226530255546</v>
      </c>
      <c r="Q30" s="88"/>
      <c r="R30" s="86">
        <f>SUM(R21:R29)</f>
        <v>37106.094300729586</v>
      </c>
      <c r="S30" s="89"/>
      <c r="T30" s="84">
        <f>SUM(T21:T29)</f>
        <v>37221.430890881027</v>
      </c>
      <c r="U30" s="89"/>
      <c r="V30" s="84">
        <f>SUM(V21:V29)</f>
        <v>37333.388274068973</v>
      </c>
      <c r="W30" s="89"/>
      <c r="X30" s="84">
        <f>SUM(X21:X29)</f>
        <v>73692.105342229042</v>
      </c>
      <c r="Y30" s="89"/>
      <c r="Z30" s="84">
        <f>SUM(Z21:Z29)</f>
        <v>73913.761927649233</v>
      </c>
      <c r="AA30" s="89"/>
      <c r="AB30" s="84">
        <f>SUM(AB21:AB29)</f>
        <v>148533.62664418749</v>
      </c>
      <c r="AC30" s="89"/>
      <c r="AD30" s="84">
        <f>SUM(AD21:AD29)</f>
        <v>148995.31258399901</v>
      </c>
      <c r="AE30" s="89"/>
      <c r="AF30" s="84">
        <f>SUM(AF21:AF29)</f>
        <v>156510.39579520249</v>
      </c>
      <c r="AG30" s="89"/>
      <c r="AH30" s="84">
        <f>SUM(AH21:AH29)</f>
        <v>157003.00023259173</v>
      </c>
      <c r="AI30" s="89"/>
      <c r="AJ30" s="84">
        <f>SUM(AJ21:AJ29)</f>
        <v>157481.19519934099</v>
      </c>
      <c r="AK30" s="89"/>
      <c r="AL30" s="84">
        <f>SUM(AL21:AL29)</f>
        <v>157976.8651596572</v>
      </c>
      <c r="AM30" s="90"/>
      <c r="AN30" s="84">
        <f>SUM(AN21:AN29)</f>
        <v>158474.10034175479</v>
      </c>
      <c r="AO30" s="89"/>
      <c r="AP30" s="84">
        <f>SUM(AP21:AP29)</f>
        <v>158940.67723678969</v>
      </c>
      <c r="AQ30" s="89"/>
      <c r="AR30" s="84">
        <f>SUM(AR21:AR29)</f>
        <v>190300.64472694317</v>
      </c>
      <c r="AS30" s="89"/>
      <c r="AT30" s="84">
        <f>SUM(AT21:AT29)</f>
        <v>190921.46460675981</v>
      </c>
      <c r="AU30" s="89"/>
      <c r="AV30" s="84">
        <f>SUM(AV21:AV29)</f>
        <v>293253.03600352042</v>
      </c>
      <c r="AW30" s="89"/>
      <c r="AX30" s="84">
        <f>SUM(AX21:AX29)</f>
        <v>294323.509369976</v>
      </c>
      <c r="AY30" s="89"/>
      <c r="AZ30" s="84">
        <f>SUM(AZ21:AZ29)</f>
        <v>295433.91156185273</v>
      </c>
      <c r="BA30" s="89"/>
      <c r="BB30" s="84">
        <f>SUM(BB21:BB29)</f>
        <v>296548.6469344123</v>
      </c>
      <c r="BC30" s="89"/>
      <c r="BD30" s="84">
        <f>SUM(BD21:BD29)</f>
        <v>297631.56529846613</v>
      </c>
      <c r="BE30" s="89"/>
      <c r="BF30" s="84">
        <f>SUM(BF21:BF29)</f>
        <v>298754.87826092012</v>
      </c>
      <c r="BG30" s="89"/>
      <c r="BH30" s="84">
        <f>SUM(BH21:BH29)</f>
        <v>299846.13040416123</v>
      </c>
      <c r="BI30" s="89"/>
      <c r="BJ30" s="84">
        <f>SUM(BJ21:BJ29)</f>
        <v>300978.08905946591</v>
      </c>
      <c r="BK30" s="90"/>
    </row>
    <row r="31" spans="1:63" ht="12.75" customHeight="1" thickTop="1" x14ac:dyDescent="0.2"/>
    <row r="32" spans="1:63" ht="12.75" customHeight="1" x14ac:dyDescent="0.2">
      <c r="B32" s="38" t="s">
        <v>55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0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55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55"/>
    </row>
    <row r="33" spans="2:77" ht="12.75" customHeight="1" x14ac:dyDescent="0.2">
      <c r="N33" s="53"/>
      <c r="P33" s="53"/>
      <c r="R33" s="53"/>
    </row>
    <row r="34" spans="2:77" ht="12.75" customHeight="1" x14ac:dyDescent="0.2">
      <c r="N34" s="53"/>
      <c r="P34" s="67">
        <f>+P19</f>
        <v>40574</v>
      </c>
      <c r="R34" s="67">
        <f>+R19</f>
        <v>40602</v>
      </c>
      <c r="T34" s="67">
        <f>+T19</f>
        <v>40633</v>
      </c>
      <c r="V34" s="67">
        <f>+V19</f>
        <v>40663</v>
      </c>
      <c r="X34" s="67">
        <f>+X19</f>
        <v>40694</v>
      </c>
      <c r="Z34" s="67">
        <f>+Z19</f>
        <v>40724</v>
      </c>
      <c r="AB34" s="67">
        <f>+AB19</f>
        <v>40755</v>
      </c>
      <c r="AD34" s="67">
        <f>+AD19</f>
        <v>40786</v>
      </c>
      <c r="AF34" s="67">
        <f>+AF19</f>
        <v>40816</v>
      </c>
      <c r="AH34" s="67">
        <f>+AH19</f>
        <v>40847</v>
      </c>
      <c r="AJ34" s="67">
        <f>+AJ19</f>
        <v>40877</v>
      </c>
      <c r="AL34" s="67">
        <f>+AL19</f>
        <v>40908</v>
      </c>
      <c r="AN34" s="67">
        <f>+AN19</f>
        <v>40939</v>
      </c>
      <c r="AP34" s="67">
        <f>+AP19</f>
        <v>40968</v>
      </c>
      <c r="AR34" s="67">
        <f>+AR19</f>
        <v>40999</v>
      </c>
      <c r="AT34" s="67">
        <f>+AT19</f>
        <v>41029</v>
      </c>
      <c r="AV34" s="67">
        <f>+AV19</f>
        <v>41060</v>
      </c>
      <c r="AX34" s="67">
        <f>+AX19</f>
        <v>41090</v>
      </c>
      <c r="AZ34" s="67">
        <f>+AZ19</f>
        <v>41121</v>
      </c>
      <c r="BB34" s="67">
        <f>+BB19</f>
        <v>41152</v>
      </c>
      <c r="BD34" s="67">
        <f>+BD19</f>
        <v>41182</v>
      </c>
      <c r="BF34" s="67">
        <f>+BF19</f>
        <v>41213</v>
      </c>
      <c r="BH34" s="67">
        <f>+BH19</f>
        <v>41243</v>
      </c>
      <c r="BJ34" s="67">
        <f>+BJ19</f>
        <v>41274</v>
      </c>
      <c r="BM34" s="91"/>
      <c r="BN34" s="92"/>
      <c r="BO34" s="92"/>
      <c r="BP34" s="91"/>
      <c r="BQ34" s="92"/>
      <c r="BR34" s="91"/>
      <c r="BS34" s="92"/>
      <c r="BT34" s="91"/>
      <c r="BU34" s="92"/>
      <c r="BV34" s="91"/>
      <c r="BW34" s="92"/>
      <c r="BX34" s="91"/>
      <c r="BY34" s="93"/>
    </row>
    <row r="35" spans="2:77" ht="12.75" customHeight="1" x14ac:dyDescent="0.2">
      <c r="N35" s="53"/>
      <c r="P35" s="53"/>
      <c r="R35" s="53"/>
      <c r="AZ35" s="49"/>
      <c r="BL35" s="130" t="s">
        <v>56</v>
      </c>
      <c r="BM35" s="130"/>
      <c r="BN35" s="130"/>
    </row>
    <row r="36" spans="2:77" ht="12.75" customHeight="1" x14ac:dyDescent="0.25">
      <c r="B36" s="42" t="s">
        <v>57</v>
      </c>
      <c r="F36" s="30" t="s">
        <v>58</v>
      </c>
      <c r="G36" s="53"/>
      <c r="H36" s="53"/>
      <c r="P36" s="94">
        <f>+P$30-N$30-P39</f>
        <v>0</v>
      </c>
      <c r="Q36" s="94"/>
      <c r="R36" s="94">
        <f>+R$30-P$30-R39</f>
        <v>103.8677704740403</v>
      </c>
      <c r="S36" s="95"/>
      <c r="T36" s="94">
        <f>+T$30-R$30-T39</f>
        <v>115.33659015144076</v>
      </c>
      <c r="U36" s="95"/>
      <c r="V36" s="94">
        <f>+V$30-T$30-V39</f>
        <v>111.95738318794611</v>
      </c>
      <c r="W36" s="95"/>
      <c r="X36" s="94">
        <f>+X$30-V$30-X39</f>
        <v>116.04308627668797</v>
      </c>
      <c r="Y36" s="95"/>
      <c r="Z36" s="94">
        <f>+Z$30-X$30-Z39</f>
        <v>221.65658542019082</v>
      </c>
      <c r="AA36" s="95"/>
      <c r="AB36" s="94">
        <f>+AB$30-Z$30-AB39</f>
        <v>229.74558294680901</v>
      </c>
      <c r="AC36" s="95"/>
      <c r="AD36" s="94">
        <f>+AD$30-AB$30-AD39</f>
        <v>461.68593981151935</v>
      </c>
      <c r="AE36" s="95"/>
      <c r="AF36" s="94">
        <f>+AF$30-AD$30-AF39</f>
        <v>448.15916274354095</v>
      </c>
      <c r="AG36" s="95"/>
      <c r="AH36" s="94">
        <f>+AH$30-AF$30-AH39</f>
        <v>492.60443738923641</v>
      </c>
      <c r="AI36" s="95"/>
      <c r="AJ36" s="94">
        <f>+AJ$30-AH$30-AJ39</f>
        <v>478.19496674925904</v>
      </c>
      <c r="AK36" s="95"/>
      <c r="AL36" s="94">
        <f>+AL$30-AJ$30-AL39</f>
        <v>495.66996031621238</v>
      </c>
      <c r="AM36" s="96"/>
      <c r="AN36" s="94">
        <f>+AN$30-AL$30-AN39</f>
        <v>497.23518209758913</v>
      </c>
      <c r="AO36" s="95"/>
      <c r="AP36" s="94">
        <f>+AP$30-AN$30-AP39</f>
        <v>466.5768950349011</v>
      </c>
      <c r="AQ36" s="95"/>
      <c r="AR36" s="94">
        <f>+AR$30-AP$30-AR39</f>
        <v>500.27875558144297</v>
      </c>
      <c r="AS36" s="94"/>
      <c r="AT36" s="94">
        <f>+AT$30-AR$30-AT39</f>
        <v>620.81987981664133</v>
      </c>
      <c r="AU36" s="94"/>
      <c r="AV36" s="94">
        <f>+AV$30-AT$30-AV39</f>
        <v>643.69512439583195</v>
      </c>
      <c r="AW36"/>
      <c r="AX36" s="123">
        <f t="shared" ref="AX36:BJ36" si="38">+AX$30-AV$30-AX39</f>
        <v>1070.4733664555824</v>
      </c>
      <c r="AY36" s="94">
        <f t="shared" si="38"/>
        <v>0</v>
      </c>
      <c r="AZ36" s="94">
        <f t="shared" si="38"/>
        <v>1110.4021918767248</v>
      </c>
      <c r="BA36" s="94">
        <f t="shared" si="38"/>
        <v>0</v>
      </c>
      <c r="BB36" s="94">
        <f t="shared" si="38"/>
        <v>1114.7353725595749</v>
      </c>
      <c r="BC36" s="94">
        <f t="shared" si="38"/>
        <v>0</v>
      </c>
      <c r="BD36" s="94">
        <f t="shared" si="38"/>
        <v>1082.9183640538249</v>
      </c>
      <c r="BE36" s="94">
        <f t="shared" si="38"/>
        <v>0</v>
      </c>
      <c r="BF36" s="121">
        <f t="shared" si="38"/>
        <v>1123.312962453987</v>
      </c>
      <c r="BG36" s="94">
        <f t="shared" si="38"/>
        <v>0</v>
      </c>
      <c r="BH36" s="94">
        <f t="shared" si="38"/>
        <v>1091.2521432411158</v>
      </c>
      <c r="BI36" s="94">
        <f t="shared" si="38"/>
        <v>0</v>
      </c>
      <c r="BJ36" s="94">
        <f t="shared" si="38"/>
        <v>1131.9586553046829</v>
      </c>
      <c r="BK36" s="96"/>
      <c r="BL36" s="97">
        <f>SUM(AN36:BJ36)</f>
        <v>10453.658892871899</v>
      </c>
      <c r="BM36" s="97">
        <f>SUM('[1]JE Jan:JE Dec'!A17)</f>
        <v>4172.3410377224354</v>
      </c>
      <c r="BN36" s="97">
        <f>BL36-BM36</f>
        <v>6281.3178551494639</v>
      </c>
      <c r="BO36" s="95"/>
    </row>
    <row r="37" spans="2:77" ht="12.75" customHeight="1" x14ac:dyDescent="0.2">
      <c r="B37" s="98" t="s">
        <v>59</v>
      </c>
      <c r="F37" s="30" t="s">
        <v>60</v>
      </c>
      <c r="J37" s="53"/>
      <c r="K37" s="53"/>
      <c r="L37" s="53"/>
      <c r="P37" s="99">
        <f>-P36</f>
        <v>0</v>
      </c>
      <c r="Q37" s="95"/>
      <c r="R37" s="99">
        <f>-R36</f>
        <v>-103.8677704740403</v>
      </c>
      <c r="S37" s="95"/>
      <c r="T37" s="99">
        <f>-T36</f>
        <v>-115.33659015144076</v>
      </c>
      <c r="U37" s="95"/>
      <c r="V37" s="99">
        <f>-V36</f>
        <v>-111.95738318794611</v>
      </c>
      <c r="W37" s="95"/>
      <c r="X37" s="99">
        <f>-X36</f>
        <v>-116.04308627668797</v>
      </c>
      <c r="Y37" s="95"/>
      <c r="Z37" s="99">
        <f>-Z36</f>
        <v>-221.65658542019082</v>
      </c>
      <c r="AA37" s="95"/>
      <c r="AB37" s="99">
        <f>-AB36</f>
        <v>-229.74558294680901</v>
      </c>
      <c r="AC37" s="95"/>
      <c r="AD37" s="99">
        <f>-AD36</f>
        <v>-461.68593981151935</v>
      </c>
      <c r="AE37" s="95"/>
      <c r="AF37" s="99">
        <f>-AF36</f>
        <v>-448.15916274354095</v>
      </c>
      <c r="AG37" s="95"/>
      <c r="AH37" s="99">
        <f>-AH36</f>
        <v>-492.60443738923641</v>
      </c>
      <c r="AI37" s="95"/>
      <c r="AJ37" s="99">
        <f>-AJ36</f>
        <v>-478.19496674925904</v>
      </c>
      <c r="AK37" s="95"/>
      <c r="AL37" s="99">
        <f>-AL36</f>
        <v>-495.66996031621238</v>
      </c>
      <c r="AM37" s="96"/>
      <c r="AN37" s="99">
        <f>-AN36</f>
        <v>-497.23518209758913</v>
      </c>
      <c r="AO37" s="95"/>
      <c r="AP37" s="115">
        <f>-AP36</f>
        <v>-466.5768950349011</v>
      </c>
      <c r="AQ37" s="95"/>
      <c r="AR37" s="115">
        <f>-AR36</f>
        <v>-500.27875558144297</v>
      </c>
      <c r="AS37" s="94"/>
      <c r="AT37" s="115">
        <f>-AT36</f>
        <v>-620.81987981664133</v>
      </c>
      <c r="AU37" s="94"/>
      <c r="AV37" s="115">
        <f>-AV36</f>
        <v>-643.69512439583195</v>
      </c>
      <c r="AW37" s="95"/>
      <c r="AX37" s="125">
        <f>-AX36</f>
        <v>-1070.4733664555824</v>
      </c>
      <c r="AY37" s="95"/>
      <c r="AZ37" s="115">
        <f>-AZ36</f>
        <v>-1110.4021918767248</v>
      </c>
      <c r="BA37" s="95"/>
      <c r="BB37" s="115">
        <f>-BB36</f>
        <v>-1114.7353725595749</v>
      </c>
      <c r="BC37" s="95"/>
      <c r="BD37" s="115">
        <f>-BD36</f>
        <v>-1082.9183640538249</v>
      </c>
      <c r="BE37" s="95"/>
      <c r="BF37" s="120">
        <f>-BF36</f>
        <v>-1123.312962453987</v>
      </c>
      <c r="BG37" s="95"/>
      <c r="BH37" s="99">
        <f>-BH36</f>
        <v>-1091.2521432411158</v>
      </c>
      <c r="BI37" s="95"/>
      <c r="BJ37" s="99">
        <f>-BJ36</f>
        <v>-1131.9586553046829</v>
      </c>
      <c r="BK37" s="96"/>
      <c r="BL37" s="97">
        <f>SUM(AN37:BJ37)</f>
        <v>-10453.658892871899</v>
      </c>
      <c r="BM37" s="97">
        <f>SUM('[1]JE Jan:JE Dec'!A18)</f>
        <v>-4172.3410377224354</v>
      </c>
      <c r="BN37" s="97">
        <f>BL37-BM37</f>
        <v>-6281.3178551494639</v>
      </c>
      <c r="BO37" s="95"/>
    </row>
    <row r="38" spans="2:77" ht="12.75" customHeight="1" x14ac:dyDescent="0.2">
      <c r="B38" s="98"/>
      <c r="J38" s="53"/>
      <c r="K38" s="53"/>
      <c r="L38" s="53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6"/>
      <c r="AN38" s="95"/>
      <c r="AO38" s="95"/>
      <c r="AP38" s="94"/>
      <c r="AQ38" s="95"/>
      <c r="AR38" s="94"/>
      <c r="AS38" s="94"/>
      <c r="AT38" s="94"/>
      <c r="AU38" s="94"/>
      <c r="AV38" s="94"/>
      <c r="AW38" s="95"/>
      <c r="AX38" s="123"/>
      <c r="AY38" s="95"/>
      <c r="AZ38" s="94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6"/>
      <c r="BL38" s="97"/>
      <c r="BM38" s="97"/>
      <c r="BN38" s="97"/>
      <c r="BO38" s="95"/>
    </row>
    <row r="39" spans="2:77" ht="12.75" customHeight="1" x14ac:dyDescent="0.2">
      <c r="B39" s="42" t="s">
        <v>61</v>
      </c>
      <c r="F39" s="30" t="s">
        <v>62</v>
      </c>
      <c r="N39" s="53"/>
      <c r="P39" s="95">
        <f>SUMIF($L$21:$L$29,"&lt;=1/31/2011",P$21:P$29)-SUMIF($L$21:$L$29,"&lt;=12/31/2010",P$21:P$29)</f>
        <v>37002.226530255546</v>
      </c>
      <c r="Q39" s="95"/>
      <c r="R39" s="95">
        <f>SUMIF($L$21:$L$29,"&lt;=2/28/2011",R$21:R$29)-SUMIF($L$21:$L$29,"&lt;=1/31/2011",R$21:R$29)</f>
        <v>0</v>
      </c>
      <c r="S39" s="95"/>
      <c r="T39" s="95">
        <f>SUMIF($L$21:$L$29,"&lt;=3/31/2011",T$21:T$29)-SUMIF($L$21:$L$29,"&lt;=2/28/2011",T$21:T$29)</f>
        <v>0</v>
      </c>
      <c r="U39" s="95"/>
      <c r="V39" s="95">
        <f>SUMIF($L$21:$L$29,"&lt;=4/30/2011",V$21:V$29)-SUMIF($L$21:$L$29,"&lt;=3/31/2011",V$21:V$29)</f>
        <v>0</v>
      </c>
      <c r="W39" s="95"/>
      <c r="X39" s="95">
        <f>SUMIF($L$21:$L$29,"&lt;=5/31/2011",X$21:X$29)-SUMIF($L$21:$L$29,"&lt;=4/30/2011",X$21:X$29)</f>
        <v>36242.673981883381</v>
      </c>
      <c r="Y39" s="95"/>
      <c r="Z39" s="95">
        <f>SUMIF($L$21:$L$29,"&lt;=6/30/2011",Z$21:Z$29)-SUMIF($L$21:$L$29,"&lt;=5/31/2011",Z$21:Z$29)</f>
        <v>0</v>
      </c>
      <c r="AA39" s="95"/>
      <c r="AB39" s="95">
        <f>SUMIF($L$21:$L$29,"&lt;=7/31/2011",AB$21:AB$29)-SUMIF($L$21:$L$29,"&lt;=6/30/2011",AB$21:AB$29)</f>
        <v>74390.119133591448</v>
      </c>
      <c r="AC39" s="95"/>
      <c r="AD39" s="95">
        <f>SUMIF($L$21:$L$29,"&lt;=8/31/2011",AD$21:AD$29)-SUMIF($L$21:$L$29,"&lt;=7/31/2011",AD$21:AD$29)</f>
        <v>0</v>
      </c>
      <c r="AE39" s="95"/>
      <c r="AF39" s="95">
        <f>SUMIF($L$21:$L$29,"&lt;=9/30/2011",AF$21:AF$29)-SUMIF($L$21:$L$29,"&lt;=8/31/2011",AF$21:AF$29)</f>
        <v>7066.9240484599432</v>
      </c>
      <c r="AG39" s="95"/>
      <c r="AH39" s="95">
        <f>SUMIF($L$21:$L$29,"&lt;=10/31/2011",AH$21:AH$29)-SUMIF($L$21:$L$29,"&lt;=9/30/2011",AH$21:AH$29)</f>
        <v>0</v>
      </c>
      <c r="AI39" s="95"/>
      <c r="AJ39" s="95">
        <f>SUMIF($L$21:$L$29,"&lt;=11/30/2011",AJ$21:AJ$29)-SUMIF($L$21:$L$29,"&lt;=10/31/2011",AJ$21:AJ$29)</f>
        <v>0</v>
      </c>
      <c r="AK39" s="95"/>
      <c r="AL39" s="95">
        <f>SUMIF($L$21:$L$29,"&lt;=12/31/2011",AL$21:AL$29)-SUMIF($L$21:$L$29,"&lt;=11/30/2011",AL$21:AL$29)</f>
        <v>0</v>
      </c>
      <c r="AM39" s="96"/>
      <c r="AN39" s="95">
        <f>SUMIF($L$21:$L$29,"&lt;=1/31/2012",AN$21:AN$29)-SUMIF($L$21:$L$29,"&lt;=12/31/2011",AN$21:AN$29)</f>
        <v>0</v>
      </c>
      <c r="AO39" s="95"/>
      <c r="AP39" s="94">
        <f>SUMIF($L$21:$L$29,"&lt;=2/29/2012",AP$21:AP$29)-SUMIF($L$21:$L$29,"&lt;=1/31/2012",AP$21:AP$29)</f>
        <v>0</v>
      </c>
      <c r="AQ39" s="95"/>
      <c r="AR39" s="94">
        <f>SUMIF($L$21:$L$29,"&lt;=3/31/2012",AR$21:AR$29)-SUMIF($L$21:$L$29,"&lt;=2/29/2012",AR$21:AR$29)</f>
        <v>30859.688734572032</v>
      </c>
      <c r="AS39" s="94"/>
      <c r="AT39" s="94">
        <f>SUMIF($L$21:$L$29,"&lt;=4/30/2012",AT$21:AT$29)-SUMIF($L$21:$L$29,"&lt;=3/31/2012",AT$21:AT$29)</f>
        <v>0</v>
      </c>
      <c r="AU39" s="94"/>
      <c r="AV39" s="94">
        <f>SUMIF($L$21:$L$29,"&lt;=5/31/2012",AV$21:AV$29)-SUMIF($L$21:$L$29,"&lt;=4/30/2012",AV$21:AV$29)</f>
        <v>101687.87627236478</v>
      </c>
      <c r="AW39" s="95"/>
      <c r="AX39" s="123">
        <f>SUMIF($L$21:$L$29,"&lt;=6/30/2012",AX$21:AX$29)-SUMIF($L$21:$L$29,"&lt;=5/31/2012",AX$21:AX$29)</f>
        <v>0</v>
      </c>
      <c r="AY39" s="95"/>
      <c r="AZ39" s="94">
        <f>SUMIF($L$21:$L$29,"&lt;=7/31/2012",AZ$21:AZ$29)-SUMIF($L$21:$L$29,"&lt;=6/30/2012",AZ$21:AZ$29)</f>
        <v>0</v>
      </c>
      <c r="BA39" s="95"/>
      <c r="BB39" s="95">
        <f>SUMIF($L$21:$L$29,"&lt;=8/31/2012",BB$21:BB$29)-SUMIF($L$21:$L$29,"&lt;=7/31/2012",BB$21:BB$29)</f>
        <v>0</v>
      </c>
      <c r="BC39" s="95"/>
      <c r="BD39" s="95">
        <f>SUMIF($L$21:$L$29,"&lt;=9/30/2012",BD$21:BD$29)-SUMIF($L$21:$L$29,"&lt;=8/31/2012",BD$21:BD$29)</f>
        <v>0</v>
      </c>
      <c r="BE39" s="95"/>
      <c r="BF39" s="95">
        <f>SUMIF($L$21:$L$29,"&lt;=10/31/2012",BF$21:BF$29)-SUMIF($L$21:$L$29,"&lt;=9/30/2012",BF$21:BF$29)</f>
        <v>0</v>
      </c>
      <c r="BG39" s="95"/>
      <c r="BH39" s="95">
        <f>SUMIF($L$21:$L$29,"&lt;=11/30/2012",BH$21:BH$29)-SUMIF($L$21:$L$29,"&lt;=10/31/2012",BH$21:BH$29)</f>
        <v>0</v>
      </c>
      <c r="BI39" s="95"/>
      <c r="BJ39" s="95">
        <f>SUMIF($L$21:$L$29,"&lt;=12/31/2012",BJ$21:BJ$29)-SUMIF($L$21:$L$29,"&lt;=11/30/2012",BJ$21:BJ$29)</f>
        <v>0</v>
      </c>
      <c r="BK39" s="96"/>
      <c r="BL39" s="97">
        <f>SUM(AN39:BJ39)</f>
        <v>132547.56500693681</v>
      </c>
      <c r="BM39" s="97">
        <f>SUM('[1]JE Jan:JE Dec'!A19)</f>
        <v>0</v>
      </c>
      <c r="BN39" s="97">
        <f>BL39-BM39</f>
        <v>132547.56500693681</v>
      </c>
    </row>
    <row r="40" spans="2:77" ht="12.75" customHeight="1" x14ac:dyDescent="0.2">
      <c r="B40" s="98" t="s">
        <v>59</v>
      </c>
      <c r="F40" s="30" t="s">
        <v>60</v>
      </c>
      <c r="N40" s="81"/>
      <c r="P40" s="95">
        <f>-P39</f>
        <v>-37002.226530255546</v>
      </c>
      <c r="Q40" s="95"/>
      <c r="R40" s="95">
        <f>-R39</f>
        <v>0</v>
      </c>
      <c r="S40" s="95"/>
      <c r="T40" s="95">
        <f>-T39</f>
        <v>0</v>
      </c>
      <c r="U40" s="95"/>
      <c r="V40" s="95">
        <f>-V39</f>
        <v>0</v>
      </c>
      <c r="W40" s="95"/>
      <c r="X40" s="95">
        <f>-X39</f>
        <v>-36242.673981883381</v>
      </c>
      <c r="Y40" s="95"/>
      <c r="Z40" s="95">
        <f>-Z39</f>
        <v>0</v>
      </c>
      <c r="AA40" s="95"/>
      <c r="AB40" s="95">
        <f>-AB39</f>
        <v>-74390.119133591448</v>
      </c>
      <c r="AC40" s="95"/>
      <c r="AD40" s="95">
        <f>-AD39</f>
        <v>0</v>
      </c>
      <c r="AE40" s="95"/>
      <c r="AF40" s="95">
        <f>-AF39</f>
        <v>-7066.9240484599432</v>
      </c>
      <c r="AG40" s="95"/>
      <c r="AH40" s="95">
        <f>-AH39</f>
        <v>0</v>
      </c>
      <c r="AI40" s="95"/>
      <c r="AJ40" s="95">
        <f>-AJ39</f>
        <v>0</v>
      </c>
      <c r="AK40" s="95"/>
      <c r="AL40" s="95">
        <f>-AL39</f>
        <v>0</v>
      </c>
      <c r="AM40" s="96"/>
      <c r="AN40" s="95">
        <f>-AN39</f>
        <v>0</v>
      </c>
      <c r="AO40" s="95"/>
      <c r="AP40" s="94">
        <f>-AP39</f>
        <v>0</v>
      </c>
      <c r="AQ40" s="95"/>
      <c r="AR40" s="94">
        <f>-AR39</f>
        <v>-30859.688734572032</v>
      </c>
      <c r="AS40" s="94"/>
      <c r="AT40" s="94">
        <f>-AT39</f>
        <v>0</v>
      </c>
      <c r="AU40" s="94"/>
      <c r="AV40" s="94">
        <f>-AV39</f>
        <v>-101687.87627236478</v>
      </c>
      <c r="AW40" s="95"/>
      <c r="AX40" s="123">
        <f>-AX39</f>
        <v>0</v>
      </c>
      <c r="AY40" s="95"/>
      <c r="AZ40" s="94">
        <f>-AZ39</f>
        <v>0</v>
      </c>
      <c r="BA40" s="95"/>
      <c r="BB40" s="95">
        <f>-BB39</f>
        <v>0</v>
      </c>
      <c r="BC40" s="95"/>
      <c r="BD40" s="95">
        <f>-BD39</f>
        <v>0</v>
      </c>
      <c r="BE40" s="95"/>
      <c r="BF40" s="95">
        <f>-BF39</f>
        <v>0</v>
      </c>
      <c r="BG40" s="95"/>
      <c r="BH40" s="95">
        <f>-BH39</f>
        <v>0</v>
      </c>
      <c r="BI40" s="95"/>
      <c r="BJ40" s="95">
        <f>-BJ39</f>
        <v>0</v>
      </c>
      <c r="BK40" s="96"/>
      <c r="BL40" s="97">
        <f>SUM(AN40:BJ40)</f>
        <v>-132547.56500693681</v>
      </c>
      <c r="BM40" s="97">
        <f>SUM('[1]JE Jan:JE Dec'!A20)</f>
        <v>0</v>
      </c>
      <c r="BN40" s="97">
        <f>BL40-BM40</f>
        <v>-132547.56500693681</v>
      </c>
      <c r="BO40" s="100"/>
    </row>
    <row r="41" spans="2:77" ht="12.75" customHeight="1" x14ac:dyDescent="0.2">
      <c r="F41" s="53"/>
      <c r="G41" s="53"/>
      <c r="H41" s="53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6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4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6"/>
    </row>
    <row r="42" spans="2:77" ht="12.75" customHeight="1" x14ac:dyDescent="0.2">
      <c r="B42" s="101" t="s">
        <v>63</v>
      </c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3"/>
      <c r="P42" s="104"/>
      <c r="Q42" s="104"/>
      <c r="R42" s="104"/>
      <c r="S42" s="104"/>
      <c r="T42" s="104"/>
      <c r="U42" s="104"/>
      <c r="V42" s="104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6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6"/>
    </row>
    <row r="43" spans="2:77" ht="12.75" hidden="1" customHeight="1" x14ac:dyDescent="0.2">
      <c r="B43" s="105" t="s">
        <v>64</v>
      </c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6"/>
    </row>
    <row r="44" spans="2:77" ht="12.75" customHeight="1" x14ac:dyDescent="0.2">
      <c r="B44" s="105" t="s">
        <v>65</v>
      </c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6"/>
      <c r="AN44" s="95"/>
      <c r="AO44" s="95"/>
      <c r="AP44" s="95"/>
      <c r="AQ44" s="123"/>
      <c r="AR44" s="123"/>
      <c r="AS44" s="123"/>
      <c r="AT44" s="124"/>
      <c r="AU44" s="125"/>
      <c r="AV44" s="125"/>
      <c r="AW44" s="99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6"/>
    </row>
    <row r="45" spans="2:77" ht="12.75" customHeight="1" x14ac:dyDescent="0.2">
      <c r="B45" s="105" t="s">
        <v>79</v>
      </c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6"/>
      <c r="AN45" s="95"/>
      <c r="AO45" s="95"/>
      <c r="AP45" s="95"/>
      <c r="AQ45" s="123"/>
      <c r="AR45" s="126"/>
      <c r="AS45" s="123"/>
      <c r="AT45" s="124"/>
      <c r="AU45" s="125"/>
      <c r="AV45" s="125"/>
      <c r="AW45" s="99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6"/>
    </row>
    <row r="46" spans="2:77" ht="12.75" customHeight="1" x14ac:dyDescent="0.2">
      <c r="B46" s="105" t="s">
        <v>68</v>
      </c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6"/>
      <c r="AN46" s="95"/>
      <c r="AO46" s="95"/>
      <c r="AP46" s="95"/>
      <c r="AQ46" s="123"/>
      <c r="AR46" s="123"/>
      <c r="AS46" s="123"/>
      <c r="AT46" s="124"/>
      <c r="AU46" s="125"/>
      <c r="AV46" s="125"/>
      <c r="AW46" s="99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6"/>
    </row>
    <row r="47" spans="2:77" ht="12.75" customHeight="1" x14ac:dyDescent="0.2"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5"/>
      <c r="AO47" s="95"/>
      <c r="AP47" s="95"/>
      <c r="AQ47" s="123"/>
      <c r="AR47" s="123"/>
      <c r="AS47" s="123"/>
      <c r="AT47" s="123"/>
      <c r="AU47" s="123"/>
      <c r="AV47" s="123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6"/>
    </row>
    <row r="48" spans="2:77" s="106" customFormat="1" ht="12.75" customHeight="1" x14ac:dyDescent="0.2">
      <c r="B48" s="106" t="s">
        <v>66</v>
      </c>
      <c r="F48" s="106" t="s">
        <v>62</v>
      </c>
      <c r="O48" s="107"/>
      <c r="P48" s="108">
        <f>SUMIF($F$36:$F$40,$F48,P$36:P$40)</f>
        <v>37002.226530255546</v>
      </c>
      <c r="Q48" s="97"/>
      <c r="R48" s="108">
        <f>P48+SUMIF($F$36:$F$40,$F48,R$36:R$40)</f>
        <v>37002.226530255546</v>
      </c>
      <c r="S48" s="97"/>
      <c r="T48" s="108">
        <f>R48+SUMIF($F$36:$F$40,$F48,T$36:T$40)</f>
        <v>37002.226530255546</v>
      </c>
      <c r="U48" s="97"/>
      <c r="V48" s="108">
        <f>T48+SUMIF($F$36:$F$40,$F48,V$36:V$40)</f>
        <v>37002.226530255546</v>
      </c>
      <c r="W48" s="97"/>
      <c r="X48" s="108">
        <f>V48+SUMIF($F$36:$F$40,$F48,X$36:X$40)</f>
        <v>73244.900512138935</v>
      </c>
      <c r="Y48" s="97"/>
      <c r="Z48" s="108">
        <f>X48+SUMIF($F$36:$F$40,$F48,Z$36:Z$40)</f>
        <v>73244.900512138935</v>
      </c>
      <c r="AA48" s="97"/>
      <c r="AB48" s="108">
        <f>Z48+SUMIF($F$36:$F$40,$F48,AB$36:AB$40)</f>
        <v>147635.01964573038</v>
      </c>
      <c r="AC48" s="97"/>
      <c r="AD48" s="108">
        <f>AB48+SUMIF($F$36:$F$40,$F48,AD$36:AD$40)</f>
        <v>147635.01964573038</v>
      </c>
      <c r="AE48" s="97"/>
      <c r="AF48" s="108">
        <f>AD48+SUMIF($F$36:$F$40,$F48,AF$36:AF$40)</f>
        <v>154701.94369419033</v>
      </c>
      <c r="AG48" s="97"/>
      <c r="AH48" s="108">
        <f>AF48+SUMIF($F$36:$F$40,$F48,AH$36:AH$40)</f>
        <v>154701.94369419033</v>
      </c>
      <c r="AI48" s="97"/>
      <c r="AJ48" s="108">
        <f>AH48+SUMIF($F$36:$F$40,$F48,AJ$36:AJ$40)</f>
        <v>154701.94369419033</v>
      </c>
      <c r="AK48" s="97"/>
      <c r="AL48" s="108">
        <f>AJ48+SUMIF($F$36:$F$40,$F48,AL$36:AL$40)</f>
        <v>154701.94369419033</v>
      </c>
      <c r="AM48" s="96"/>
      <c r="AN48" s="108">
        <f>AL48+SUMIF($F$36:$F$40,$F48,AN$36:AN$40)</f>
        <v>154701.94369419033</v>
      </c>
      <c r="AO48" s="97"/>
      <c r="AP48" s="108">
        <f>AN48+SUMIF($F$36:$F$40,$F48,AP$36:AP$40)</f>
        <v>154701.94369419033</v>
      </c>
      <c r="AQ48" s="97"/>
      <c r="AR48" s="108">
        <f>AP48+SUMIF($F$36:$F$40,$F48,AR$36:AR$40)</f>
        <v>185561.63242876236</v>
      </c>
      <c r="AS48" s="97"/>
      <c r="AT48" s="108">
        <f>AR48+SUMIF($F$36:$F$40,$F48,AT$36:AT$40)</f>
        <v>185561.63242876236</v>
      </c>
      <c r="AU48" s="97"/>
      <c r="AV48" s="108">
        <f>AT48+SUMIF($F$36:$F$40,$F48,AV$36:AV$40)</f>
        <v>287249.50870112714</v>
      </c>
      <c r="AW48" s="97"/>
      <c r="AX48" s="108">
        <f>AV48+SUMIF($F$36:$F$40,$F48,AX$36:AX$40)</f>
        <v>287249.50870112714</v>
      </c>
      <c r="AY48" s="97"/>
      <c r="AZ48" s="108">
        <f>AX48+SUMIF($F$36:$F$40,$F48,AZ$36:AZ$40)</f>
        <v>287249.50870112714</v>
      </c>
      <c r="BA48" s="97"/>
      <c r="BB48" s="108">
        <f>AZ48+SUMIF($F$36:$F$40,$F48,BB$36:BB$40)</f>
        <v>287249.50870112714</v>
      </c>
      <c r="BC48" s="97"/>
      <c r="BD48" s="108">
        <f>BB48+SUMIF($F$36:$F$40,$F48,BD$36:BD$40)</f>
        <v>287249.50870112714</v>
      </c>
      <c r="BE48" s="97"/>
      <c r="BF48" s="108">
        <f>BD48+SUMIF($F$36:$F$40,$F48,BF$36:BF$40)</f>
        <v>287249.50870112714</v>
      </c>
      <c r="BG48" s="97"/>
      <c r="BH48" s="108">
        <f>BF48+SUMIF($F$36:$F$40,$F48,BH$36:BH$40)</f>
        <v>287249.50870112714</v>
      </c>
      <c r="BI48" s="97"/>
      <c r="BJ48" s="108">
        <f>BH48+SUMIF($F$36:$F$40,$F48,BJ$36:BJ$40)</f>
        <v>287249.50870112714</v>
      </c>
      <c r="BK48" s="96"/>
    </row>
    <row r="49" spans="2:63" s="106" customFormat="1" ht="12.75" customHeight="1" x14ac:dyDescent="0.2">
      <c r="B49" s="106" t="s">
        <v>66</v>
      </c>
      <c r="F49" s="106" t="s">
        <v>60</v>
      </c>
      <c r="O49" s="107"/>
      <c r="P49" s="108">
        <f>SUMIF($F$36:$F$40,$F49,P$36:P$40)</f>
        <v>-37002.226530255546</v>
      </c>
      <c r="Q49" s="97"/>
      <c r="R49" s="108">
        <f>P49+SUMIF($F$36:$F$40,$F49,R$36:R$40)</f>
        <v>-37106.094300729586</v>
      </c>
      <c r="S49" s="97"/>
      <c r="T49" s="108">
        <f>R49+SUMIF($F$36:$F$40,$F49,T$36:T$40)</f>
        <v>-37221.430890881027</v>
      </c>
      <c r="U49" s="97"/>
      <c r="V49" s="108">
        <f>T49+SUMIF($F$36:$F$40,$F49,V$36:V$40)</f>
        <v>-37333.388274068973</v>
      </c>
      <c r="W49" s="97"/>
      <c r="X49" s="108">
        <f>V49+SUMIF($F$36:$F$40,$F49,X$36:X$40)</f>
        <v>-73692.105342229042</v>
      </c>
      <c r="Y49" s="97"/>
      <c r="Z49" s="108">
        <f>X49+SUMIF($F$36:$F$40,$F49,Z$36:Z$40)</f>
        <v>-73913.761927649233</v>
      </c>
      <c r="AA49" s="97"/>
      <c r="AB49" s="108">
        <f>Z49+SUMIF($F$36:$F$40,$F49,AB$36:AB$40)</f>
        <v>-148533.62664418749</v>
      </c>
      <c r="AC49" s="97"/>
      <c r="AD49" s="108">
        <f>AB49+SUMIF($F$36:$F$40,$F49,AD$36:AD$40)</f>
        <v>-148995.31258399901</v>
      </c>
      <c r="AE49" s="97"/>
      <c r="AF49" s="108">
        <f>AD49+SUMIF($F$36:$F$40,$F49,AF$36:AF$40)</f>
        <v>-156510.39579520249</v>
      </c>
      <c r="AG49" s="97"/>
      <c r="AH49" s="108">
        <f>AF49+SUMIF($F$36:$F$40,$F49,AH$36:AH$40)</f>
        <v>-157003.00023259173</v>
      </c>
      <c r="AI49" s="97"/>
      <c r="AJ49" s="108">
        <f>AH49+SUMIF($F$36:$F$40,$F49,AJ$36:AJ$40)</f>
        <v>-157481.19519934099</v>
      </c>
      <c r="AK49" s="97"/>
      <c r="AL49" s="108">
        <f>AJ49+SUMIF($F$36:$F$40,$F49,AL$36:AL$40)</f>
        <v>-157976.8651596572</v>
      </c>
      <c r="AM49" s="96"/>
      <c r="AN49" s="108">
        <f>AL49+SUMIF($F$36:$F$40,$F49,AN$36:AN$40)</f>
        <v>-158474.10034175479</v>
      </c>
      <c r="AO49" s="97"/>
      <c r="AP49" s="108">
        <f>AN49+SUMIF($F$36:$F$40,$F49,AP$36:AP$40)</f>
        <v>-158940.67723678969</v>
      </c>
      <c r="AQ49" s="97"/>
      <c r="AR49" s="108">
        <f>AP49+SUMIF($F$36:$F$40,$F49,AR$36:AR$40)</f>
        <v>-190300.64472694317</v>
      </c>
      <c r="AS49" s="97"/>
      <c r="AT49" s="108">
        <f>AR49+SUMIF($F$36:$F$40,$F49,AT$36:AT$40)</f>
        <v>-190921.46460675981</v>
      </c>
      <c r="AU49" s="97"/>
      <c r="AV49" s="108">
        <f>AT49+SUMIF($F$36:$F$40,$F49,AV$36:AV$40)</f>
        <v>-293253.03600352042</v>
      </c>
      <c r="AW49" s="97"/>
      <c r="AX49" s="108">
        <f>AV49+SUMIF($F$36:$F$40,$F49,AX$36:AX$40)</f>
        <v>-294323.509369976</v>
      </c>
      <c r="AY49" s="97"/>
      <c r="AZ49" s="108">
        <f>AX49+SUMIF($F$36:$F$40,$F49,AZ$36:AZ$40)</f>
        <v>-295433.91156185273</v>
      </c>
      <c r="BA49" s="97"/>
      <c r="BB49" s="108">
        <f>AZ49+SUMIF($F$36:$F$40,$F49,BB$36:BB$40)</f>
        <v>-296548.6469344123</v>
      </c>
      <c r="BC49" s="97"/>
      <c r="BD49" s="108">
        <f>BB49+SUMIF($F$36:$F$40,$F49,BD$36:BD$40)</f>
        <v>-297631.56529846613</v>
      </c>
      <c r="BE49" s="97"/>
      <c r="BF49" s="108">
        <f>BD49+SUMIF($F$36:$F$40,$F49,BF$36:BF$40)</f>
        <v>-298754.87826092012</v>
      </c>
      <c r="BG49" s="97"/>
      <c r="BH49" s="108">
        <f>BF49+SUMIF($F$36:$F$40,$F49,BH$36:BH$40)</f>
        <v>-299846.13040416123</v>
      </c>
      <c r="BI49" s="97"/>
      <c r="BJ49" s="108">
        <f>BH49+SUMIF($F$36:$F$40,$F49,BJ$36:BJ$40)</f>
        <v>-300978.08905946591</v>
      </c>
      <c r="BK49" s="96"/>
    </row>
    <row r="50" spans="2:63" s="106" customFormat="1" ht="12.75" customHeight="1" x14ac:dyDescent="0.2">
      <c r="B50" s="106" t="s">
        <v>66</v>
      </c>
      <c r="F50" s="106" t="s">
        <v>58</v>
      </c>
      <c r="N50" s="109"/>
      <c r="O50" s="107"/>
      <c r="P50" s="108">
        <f>SUMIF($F$36:$F$40,$F50,P$36:P$40)</f>
        <v>0</v>
      </c>
      <c r="Q50" s="97"/>
      <c r="R50" s="108">
        <f>P50+SUMIF($F$36:$F$40,$F50,R$36:R$40)</f>
        <v>103.8677704740403</v>
      </c>
      <c r="S50" s="97"/>
      <c r="T50" s="108">
        <f>R50+SUMIF($F$36:$F$40,$F50,T$36:T$40)</f>
        <v>219.20436062548106</v>
      </c>
      <c r="U50" s="97"/>
      <c r="V50" s="108">
        <f>T50+SUMIF($F$36:$F$40,$F50,V$36:V$40)</f>
        <v>331.16174381342717</v>
      </c>
      <c r="W50" s="97"/>
      <c r="X50" s="108">
        <f>V50+SUMIF($F$36:$F$40,$F50,X$36:X$40)</f>
        <v>447.20483009011514</v>
      </c>
      <c r="Y50" s="97"/>
      <c r="Z50" s="108">
        <f>X50+SUMIF($F$36:$F$40,$F50,Z$36:Z$40)</f>
        <v>668.86141551030596</v>
      </c>
      <c r="AA50" s="97"/>
      <c r="AB50" s="108">
        <f>Z50+SUMIF($F$36:$F$40,$F50,AB$36:AB$40)</f>
        <v>898.60699845711497</v>
      </c>
      <c r="AC50" s="97"/>
      <c r="AD50" s="108">
        <f>AB50+SUMIF($F$36:$F$40,$F50,AD$36:AD$40)</f>
        <v>1360.2929382686343</v>
      </c>
      <c r="AE50" s="97"/>
      <c r="AF50" s="108">
        <f>AD50+SUMIF($F$36:$F$40,$F50,AF$36:AF$40)</f>
        <v>1808.4521010121753</v>
      </c>
      <c r="AG50" s="97"/>
      <c r="AH50" s="108">
        <f>AF50+SUMIF($F$36:$F$40,$F50,AH$36:AH$40)</f>
        <v>2301.0565384014117</v>
      </c>
      <c r="AI50" s="97"/>
      <c r="AJ50" s="108">
        <f>AH50+SUMIF($F$36:$F$40,$F50,AJ$36:AJ$40)</f>
        <v>2779.2515051506707</v>
      </c>
      <c r="AK50" s="97"/>
      <c r="AL50" s="108">
        <f>AJ50+SUMIF($F$36:$F$40,$F50,AL$36:AL$40)</f>
        <v>3274.9214654668831</v>
      </c>
      <c r="AM50" s="96"/>
      <c r="AN50" s="108">
        <f>SUMIF($F$36:$F$40,$F50,AN$36:AN$40)</f>
        <v>497.23518209758913</v>
      </c>
      <c r="AO50" s="97"/>
      <c r="AP50" s="108">
        <f>AN50+SUMIF($F$36:$F$40,$F50,AP$36:AP$40)</f>
        <v>963.81207713249023</v>
      </c>
      <c r="AQ50" s="97"/>
      <c r="AR50" s="108">
        <f>AP50+SUMIF($F$36:$F$40,$F50,AR$36:AR$40)</f>
        <v>1464.0908327139332</v>
      </c>
      <c r="AS50" s="97"/>
      <c r="AT50" s="108">
        <f>AR50+SUMIF($F$36:$F$40,$F50,AT$36:AT$40)</f>
        <v>2084.9107125305745</v>
      </c>
      <c r="AU50" s="97"/>
      <c r="AV50" s="108">
        <f>AT50+SUMIF($F$36:$F$40,$F50,AV$36:AV$40)</f>
        <v>2728.6058369264065</v>
      </c>
      <c r="AW50" s="97"/>
      <c r="AX50" s="108">
        <f>AV50+SUMIF($F$36:$F$40,$F50,AX$36:AX$40)</f>
        <v>3799.0792033819889</v>
      </c>
      <c r="AY50" s="97"/>
      <c r="AZ50" s="108">
        <f>AX50+SUMIF($F$36:$F$40,$F50,AZ$36:AZ$40)</f>
        <v>4909.4813952587137</v>
      </c>
      <c r="BA50" s="97"/>
      <c r="BB50" s="108">
        <f>AZ50+SUMIF($F$36:$F$40,$F50,BB$36:BB$40)</f>
        <v>6024.2167678182886</v>
      </c>
      <c r="BC50" s="97"/>
      <c r="BD50" s="108">
        <f>BB50+SUMIF($F$36:$F$40,$F50,BD$36:BD$40)</f>
        <v>7107.1351318721136</v>
      </c>
      <c r="BE50" s="97"/>
      <c r="BF50" s="108">
        <f>BD50+SUMIF($F$36:$F$40,$F50,BF$36:BF$40)</f>
        <v>8230.4480943261005</v>
      </c>
      <c r="BG50" s="97"/>
      <c r="BH50" s="108">
        <f>BF50+SUMIF($F$36:$F$40,$F50,BH$36:BH$40)</f>
        <v>9321.7002375672164</v>
      </c>
      <c r="BI50" s="97"/>
      <c r="BJ50" s="108">
        <f>BH50+SUMIF($F$36:$F$40,$F50,BJ$36:BJ$40)</f>
        <v>10453.658892871899</v>
      </c>
      <c r="BK50" s="96"/>
    </row>
    <row r="51" spans="2:63" ht="12.75" customHeight="1" x14ac:dyDescent="0.25">
      <c r="AP51"/>
      <c r="AQ51"/>
      <c r="AR51"/>
      <c r="AS51"/>
      <c r="AT51"/>
    </row>
    <row r="52" spans="2:63" ht="12.75" customHeight="1" x14ac:dyDescent="0.25">
      <c r="AP52"/>
      <c r="AQ52"/>
      <c r="AR52" s="127"/>
      <c r="AS52" s="127"/>
      <c r="AT52" s="124"/>
      <c r="AU52" s="128"/>
      <c r="AV52" s="129"/>
    </row>
    <row r="53" spans="2:63" ht="12.75" customHeight="1" x14ac:dyDescent="0.25">
      <c r="AP53"/>
      <c r="AQ53"/>
      <c r="AR53" s="127"/>
      <c r="AS53" s="127"/>
      <c r="AT53" s="124"/>
      <c r="AU53" s="128"/>
      <c r="AV53" s="129"/>
    </row>
    <row r="54" spans="2:63" ht="12.75" customHeight="1" x14ac:dyDescent="0.25">
      <c r="AP54"/>
      <c r="AQ54"/>
      <c r="AR54"/>
      <c r="AS54"/>
      <c r="AT54"/>
    </row>
    <row r="55" spans="2:63" ht="12.75" customHeight="1" x14ac:dyDescent="0.2">
      <c r="AP55" s="118"/>
      <c r="AQ55" s="118"/>
      <c r="AR55" s="118"/>
      <c r="AS55" s="118"/>
      <c r="AT55" s="118"/>
    </row>
  </sheetData>
  <mergeCells count="1">
    <mergeCell ref="BL35:BN35"/>
  </mergeCells>
  <pageMargins left="0" right="0" top="0" bottom="0" header="0" footer="0"/>
  <pageSetup paperSize="17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JOURNAL ENTRY VOUCHER</vt:lpstr>
      <vt:lpstr>JE</vt:lpstr>
      <vt:lpstr>FIELDNAME ARO 2012</vt:lpstr>
      <vt:lpstr>Reserve Report 12-31-11</vt:lpstr>
      <vt:lpstr>'FIELDNAME ARO 2012'!Print_Area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Young</dc:creator>
  <cp:lastModifiedBy>Stillman, Greg</cp:lastModifiedBy>
  <cp:lastPrinted>2012-07-24T18:53:49Z</cp:lastPrinted>
  <dcterms:created xsi:type="dcterms:W3CDTF">2012-04-16T20:06:43Z</dcterms:created>
  <dcterms:modified xsi:type="dcterms:W3CDTF">2015-09-01T14:59:58Z</dcterms:modified>
</cp:coreProperties>
</file>